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ndicadores económico-financie." sheetId="1" r:id="rId1"/>
    <sheet name="GASTOS DEL URBANISMO" sheetId="2" r:id="rId2"/>
    <sheet name="otros indicadores" sheetId="3" r:id="rId3"/>
    <sheet name="observaciones" sheetId="4" r:id="rId4"/>
    <sheet name="gasto personal directivo" sheetId="5" state="hidden" r:id="rId5"/>
    <sheet name="gastos personal eventual" sheetId="6" state="hidden" r:id="rId6"/>
  </sheets>
  <definedNames>
    <definedName name="_xlnm.Print_Area" localSheetId="0">'Indicadores económico-financie.'!$A$1:$P$57</definedName>
  </definedNames>
  <calcPr fullCalcOnLoad="1"/>
</workbook>
</file>

<file path=xl/comments5.xml><?xml version="1.0" encoding="utf-8"?>
<comments xmlns="http://schemas.openxmlformats.org/spreadsheetml/2006/main">
  <authors>
    <author>Eva Manzanero</author>
  </authors>
  <commentList>
    <comment ref="C3" authorId="0">
      <text>
        <r>
          <rPr>
            <b/>
            <sz val="9"/>
            <rFont val="Tahoma"/>
            <family val="2"/>
          </rPr>
          <t>Eva Manzanero:</t>
        </r>
        <r>
          <rPr>
            <sz val="9"/>
            <rFont val="Tahoma"/>
            <family val="2"/>
          </rPr>
          <t xml:space="preserve">
se calcula % sobre total s.social en base a lo que representa la económica 10100 sobre total GPers
</t>
        </r>
      </text>
    </comment>
  </commentList>
</comments>
</file>

<file path=xl/comments6.xml><?xml version="1.0" encoding="utf-8"?>
<comments xmlns="http://schemas.openxmlformats.org/spreadsheetml/2006/main">
  <authors>
    <author>Eva Manzanero</author>
  </authors>
  <commentList>
    <comment ref="C4" authorId="0">
      <text>
        <r>
          <rPr>
            <b/>
            <sz val="9"/>
            <rFont val="Tahoma"/>
            <family val="2"/>
          </rPr>
          <t>Eva Manzanero:</t>
        </r>
        <r>
          <rPr>
            <sz val="9"/>
            <rFont val="Tahoma"/>
            <family val="2"/>
          </rPr>
          <t xml:space="preserve">
se calcula % sobre total s.social en base a lo que representa la económica 11000 sobre total GP
</t>
        </r>
      </text>
    </comment>
  </commentList>
</comments>
</file>

<file path=xl/sharedStrings.xml><?xml version="1.0" encoding="utf-8"?>
<sst xmlns="http://schemas.openxmlformats.org/spreadsheetml/2006/main" count="60" uniqueCount="56">
  <si>
    <t xml:space="preserve"> </t>
  </si>
  <si>
    <t>Derch. Rec. Netos (Cap. I a III)</t>
  </si>
  <si>
    <t>Obligaciones r.netas(cap.VI y VII)</t>
  </si>
  <si>
    <t>Deuda pública</t>
  </si>
  <si>
    <t>IBI DE NATURALEZA RÚSTICA</t>
  </si>
  <si>
    <t>IBI DE NATURALEZA URBANA</t>
  </si>
  <si>
    <t>IMPUESTO BIENES INMUEBLES DE CARACTER ES</t>
  </si>
  <si>
    <t>IMPUESTO SOBRE CONSTRUCCIONES, INST.Y OBRAS</t>
  </si>
  <si>
    <t>TASA PRESTACION SS.URBANISTICOS</t>
  </si>
  <si>
    <t>SANCIONES URBANÍSTICAS</t>
  </si>
  <si>
    <t>OTROS INGRESOS DIVERSOS. DAÑOS Y PERJUIC</t>
  </si>
  <si>
    <t>CONTROL DE CALIDAD DE OBRAS</t>
  </si>
  <si>
    <t>DR del urbanismo</t>
  </si>
  <si>
    <t xml:space="preserve">(44)  Inversión por habitante  (€/hab)  </t>
  </si>
  <si>
    <t>(46) Deuda pública consolidada (€)</t>
  </si>
  <si>
    <t>Obligaciones r.netas(601-619)</t>
  </si>
  <si>
    <t>(41) Cumplimiento estabilidad presupuestaria (superávit o déficit)</t>
  </si>
  <si>
    <t xml:space="preserve">      Endeudamiento por habitante (€/hab)  </t>
  </si>
  <si>
    <t xml:space="preserve">(44) Ingresos fiscales por habitante  (€/hab) </t>
  </si>
  <si>
    <t xml:space="preserve">(71) Inversión en infraestructuras por habitante  (€/hab) </t>
  </si>
  <si>
    <t>(71) Proporción de ingresos del urbanismo sobre ingresos totales (%)</t>
  </si>
  <si>
    <t>(40) Autonomía Fiscal  (%)</t>
  </si>
  <si>
    <t>Evolución de Indicadores Económico-financieros Ayuntamiento Fuenlabrada</t>
  </si>
  <si>
    <t>Derch. Rec. Netos TOTALES</t>
  </si>
  <si>
    <t>nºhabitantes</t>
  </si>
  <si>
    <t>ITA</t>
  </si>
  <si>
    <t>ENAJENACIÓN DE TERRENOS</t>
  </si>
  <si>
    <t>DR netos Totales</t>
  </si>
  <si>
    <t>DR netos del Urbanismo</t>
  </si>
  <si>
    <t>APROVECHAMIENTOS URBANÍSTICOS</t>
  </si>
  <si>
    <t>Proporción de gastos del urbanismo sobre gastos totales (%)</t>
  </si>
  <si>
    <t>Oblligaciones reconocidas netas</t>
  </si>
  <si>
    <t>Capítulo II</t>
  </si>
  <si>
    <t xml:space="preserve">Capítulo IV </t>
  </si>
  <si>
    <t>Capítulo VI</t>
  </si>
  <si>
    <t>Gasto por habitante</t>
  </si>
  <si>
    <t>Endeudamiento relativo</t>
  </si>
  <si>
    <t>Periodo medio de cobro</t>
  </si>
  <si>
    <t>Periodo medio de pago</t>
  </si>
  <si>
    <t>Superávit por habitante</t>
  </si>
  <si>
    <t>Fuente: Concejalía de Economía y Hacienda. Elaboración Servicio de Hacienda.</t>
  </si>
  <si>
    <r>
      <rPr>
        <b/>
        <sz val="8"/>
        <color indexed="10"/>
        <rFont val="Arial"/>
        <family val="2"/>
      </rPr>
      <t>Ingreso</t>
    </r>
    <r>
      <rPr>
        <sz val="8"/>
        <color indexed="10"/>
        <rFont val="Arial"/>
        <family val="2"/>
      </rPr>
      <t>s</t>
    </r>
    <r>
      <rPr>
        <sz val="8"/>
        <rFont val="Arial"/>
        <family val="2"/>
      </rPr>
      <t xml:space="preserve"> fiscales (Cap. I a III)</t>
    </r>
  </si>
  <si>
    <t>23. % de Gasto de personal sobre el total</t>
  </si>
  <si>
    <t>24. Gasto personal directivo</t>
  </si>
  <si>
    <t xml:space="preserve"> % sobre gasto de personal</t>
  </si>
  <si>
    <t>% sobre gasto total</t>
  </si>
  <si>
    <t>25. Gasto personal eventual</t>
  </si>
  <si>
    <t>18. No se hace un Plan de reequilibrio ya que no hay déficit estructural</t>
  </si>
  <si>
    <t>19. No se hace un Plan de ajuste por medidas de apoyo a la liquidez, ya que no nay problemas de liquidez</t>
  </si>
  <si>
    <t xml:space="preserve">43. No se han prestado avales ni garantias </t>
  </si>
  <si>
    <t>44 .No se han hecho operaciones de arrendamiento financiero</t>
  </si>
  <si>
    <t xml:space="preserve">PROGRAMA </t>
  </si>
  <si>
    <t>ECONÓMICA 10100</t>
  </si>
  <si>
    <t xml:space="preserve">% SSOCIAL </t>
  </si>
  <si>
    <t>ECONÓMICA 11000</t>
  </si>
  <si>
    <t>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</si>
</sst>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#,##0.00\ _€"/>
    <numFmt numFmtId="172" formatCode="#,##0.0"/>
    <numFmt numFmtId="173" formatCode="[$-C0A]dddd\,\ dd&quot; de &quot;mmmm&quot; de &quot;yyyy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</numFmts>
  <fonts count="7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i/>
      <sz val="11"/>
      <color indexed="8"/>
      <name val="Verdana"/>
      <family val="2"/>
    </font>
    <font>
      <sz val="7"/>
      <color indexed="8"/>
      <name val="Verdana"/>
      <family val="2"/>
    </font>
    <font>
      <b/>
      <sz val="6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i/>
      <sz val="6"/>
      <color indexed="8"/>
      <name val="Verdana"/>
      <family val="2"/>
    </font>
    <font>
      <b/>
      <i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1"/>
      <color rgb="FF000000"/>
      <name val="Arial"/>
      <family val="2"/>
    </font>
    <font>
      <b/>
      <i/>
      <sz val="11"/>
      <color rgb="FF000000"/>
      <name val="Verdana"/>
      <family val="2"/>
    </font>
    <font>
      <sz val="7"/>
      <color rgb="FF000000"/>
      <name val="Verdana"/>
      <family val="2"/>
    </font>
    <font>
      <b/>
      <sz val="6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b/>
      <i/>
      <sz val="6"/>
      <color rgb="FF000000"/>
      <name val="Verdana"/>
      <family val="2"/>
    </font>
    <font>
      <b/>
      <i/>
      <sz val="7"/>
      <color rgb="FF000000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2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65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10" fontId="0" fillId="0" borderId="0" xfId="55" applyNumberFormat="1" applyFont="1" applyFill="1" applyAlignment="1">
      <alignment/>
    </xf>
    <xf numFmtId="10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5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" fontId="61" fillId="0" borderId="0" xfId="0" applyNumberFormat="1" applyFont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66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4" fillId="34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33" borderId="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4" fontId="0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3"/>
  <sheetViews>
    <sheetView tabSelected="1" zoomScale="80" zoomScaleNormal="80" workbookViewId="0" topLeftCell="A1">
      <selection activeCell="U22" sqref="U22"/>
    </sheetView>
  </sheetViews>
  <sheetFormatPr defaultColWidth="11.421875" defaultRowHeight="12.75"/>
  <cols>
    <col min="6" max="6" width="7.8515625" style="0" hidden="1" customWidth="1"/>
    <col min="7" max="7" width="33.140625" style="0" hidden="1" customWidth="1"/>
    <col min="8" max="8" width="15.00390625" style="0" hidden="1" customWidth="1"/>
    <col min="9" max="9" width="15.421875" style="0" hidden="1" customWidth="1"/>
    <col min="10" max="10" width="15.140625" style="0" customWidth="1"/>
    <col min="11" max="11" width="15.7109375" style="0" customWidth="1"/>
    <col min="12" max="12" width="15.28125" style="0" customWidth="1"/>
    <col min="13" max="13" width="15.57421875" style="0" customWidth="1"/>
    <col min="14" max="14" width="16.140625" style="0" customWidth="1"/>
    <col min="15" max="15" width="19.28125" style="0" customWidth="1"/>
    <col min="16" max="16" width="16.28125" style="4" customWidth="1"/>
    <col min="17" max="17" width="12.7109375" style="0" bestFit="1" customWidth="1"/>
    <col min="18" max="18" width="14.140625" style="0" customWidth="1"/>
    <col min="19" max="19" width="17.7109375" style="0" customWidth="1"/>
    <col min="20" max="20" width="13.57421875" style="0" customWidth="1"/>
    <col min="21" max="21" width="20.8515625" style="61" bestFit="1" customWidth="1"/>
    <col min="22" max="22" width="11.7109375" style="0" bestFit="1" customWidth="1"/>
  </cols>
  <sheetData>
    <row r="1" spans="2:12" ht="15">
      <c r="B1" s="24" t="s">
        <v>22</v>
      </c>
      <c r="C1" s="24"/>
      <c r="D1" s="24"/>
      <c r="E1" s="24"/>
      <c r="L1" s="23"/>
    </row>
    <row r="2" spans="2:15" ht="15">
      <c r="B2" s="24"/>
      <c r="C2" s="24"/>
      <c r="D2" s="24"/>
      <c r="E2" s="24"/>
      <c r="L2" s="23"/>
      <c r="O2" s="46"/>
    </row>
    <row r="3" spans="1:16" ht="14.25">
      <c r="A3" s="32" t="s">
        <v>25</v>
      </c>
      <c r="F3" t="s">
        <v>0</v>
      </c>
      <c r="H3" s="3">
        <v>2014</v>
      </c>
      <c r="I3" s="3">
        <v>2015</v>
      </c>
      <c r="J3" s="3">
        <v>2016</v>
      </c>
      <c r="K3" s="3">
        <v>2017</v>
      </c>
      <c r="L3" s="3">
        <v>2018</v>
      </c>
      <c r="M3" s="34">
        <v>2019</v>
      </c>
      <c r="N3" s="3">
        <v>2020</v>
      </c>
      <c r="O3" s="3">
        <v>2021</v>
      </c>
      <c r="P3" s="3">
        <v>2022</v>
      </c>
    </row>
    <row r="4" spans="12:16" ht="14.25">
      <c r="L4" s="23"/>
      <c r="P4" s="66"/>
    </row>
    <row r="5" spans="1:18" ht="14.25">
      <c r="A5" s="4" t="s">
        <v>21</v>
      </c>
      <c r="F5" s="2"/>
      <c r="G5" s="1" t="s">
        <v>1</v>
      </c>
      <c r="H5" s="22">
        <f>83831863.79/141110921.08</f>
        <v>0.5940848741428965</v>
      </c>
      <c r="I5" s="22">
        <f>84450595.09/148089218.97</f>
        <v>0.570268353613966</v>
      </c>
      <c r="J5" s="22">
        <f>86981386.62/155204937.33</f>
        <v>0.5604292499732683</v>
      </c>
      <c r="K5" s="21">
        <v>0.5417440032750704</v>
      </c>
      <c r="L5" s="35">
        <v>0.55</v>
      </c>
      <c r="M5" s="42">
        <f>103339739.32/167743403.32</f>
        <v>0.6160584397042506</v>
      </c>
      <c r="N5" s="41">
        <f>97458754.88/159740458.74</f>
        <v>0.6101068924475032</v>
      </c>
      <c r="O5" s="41">
        <f>90529350.09/159314172.78</f>
        <v>0.5682441713143357</v>
      </c>
      <c r="P5" s="73">
        <f>95793169.07/P40</f>
        <v>0.48958493790416746</v>
      </c>
      <c r="R5" s="4"/>
    </row>
    <row r="6" spans="1:16" ht="14.25">
      <c r="A6" s="11"/>
      <c r="B6" s="11"/>
      <c r="C6" s="11"/>
      <c r="D6" s="11"/>
      <c r="E6" s="11"/>
      <c r="F6" s="11"/>
      <c r="G6" s="1" t="s">
        <v>23</v>
      </c>
      <c r="H6" s="11"/>
      <c r="I6" s="11"/>
      <c r="J6" s="11"/>
      <c r="K6" s="11"/>
      <c r="L6" s="11"/>
      <c r="M6" s="12"/>
      <c r="N6" s="12"/>
      <c r="O6" s="12"/>
      <c r="P6" s="67"/>
    </row>
    <row r="7" spans="12:16" ht="14.25">
      <c r="L7" s="23"/>
      <c r="P7" s="25"/>
    </row>
    <row r="8" spans="1:16" ht="14.25">
      <c r="A8" s="4" t="s">
        <v>16</v>
      </c>
      <c r="H8" s="5">
        <v>9157638.4</v>
      </c>
      <c r="I8" s="5">
        <v>5553598.58</v>
      </c>
      <c r="J8" s="5">
        <v>13550413.02</v>
      </c>
      <c r="K8" s="5">
        <v>10965577.01</v>
      </c>
      <c r="L8" s="27">
        <v>14680602.39</v>
      </c>
      <c r="M8" s="39">
        <v>7332599.55</v>
      </c>
      <c r="N8" s="39">
        <v>5515457.81</v>
      </c>
      <c r="O8" s="39">
        <v>-3714990.1492076023</v>
      </c>
      <c r="P8" s="68">
        <v>-9392337.28</v>
      </c>
    </row>
    <row r="9" spans="1:18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/>
      <c r="R9" t="s">
        <v>55</v>
      </c>
    </row>
    <row r="10" spans="12:16" ht="14.25">
      <c r="L10" s="23"/>
      <c r="P10" s="66"/>
    </row>
    <row r="11" spans="1:20" ht="14.25">
      <c r="A11" s="4" t="s">
        <v>18</v>
      </c>
      <c r="G11" s="1" t="s">
        <v>41</v>
      </c>
      <c r="H11" s="5">
        <f>77015607.19/200312</f>
        <v>384.4782498801869</v>
      </c>
      <c r="I11" s="6">
        <f>79228968.36/195180</f>
        <v>405.92769935444204</v>
      </c>
      <c r="J11" s="5">
        <f>83505643.92/199057</f>
        <v>419.5061912919415</v>
      </c>
      <c r="K11" s="5">
        <f>87365450.66/200830</f>
        <v>435.02191236369066</v>
      </c>
      <c r="L11" s="27">
        <f>88032308.76/201194</f>
        <v>437.54937403699915</v>
      </c>
      <c r="M11" s="38">
        <f>90538216.21/202297</f>
        <v>447.55095829399346</v>
      </c>
      <c r="N11" s="40">
        <f>86505110.61/202297</f>
        <v>427.61440164708324</v>
      </c>
      <c r="O11" s="40">
        <f>80285026.29/200143</f>
        <v>401.1383175529497</v>
      </c>
      <c r="P11" s="80">
        <f>87041420.29/189891</f>
        <v>458.37570127072905</v>
      </c>
      <c r="R11" s="5"/>
      <c r="T11" s="5"/>
    </row>
    <row r="12" spans="1:20" ht="14.25">
      <c r="A12" s="11"/>
      <c r="B12" s="11"/>
      <c r="C12" s="11"/>
      <c r="D12" s="11"/>
      <c r="E12" s="11"/>
      <c r="F12" s="11"/>
      <c r="G12" s="26" t="s">
        <v>24</v>
      </c>
      <c r="H12" s="11"/>
      <c r="I12" s="11"/>
      <c r="J12" s="11"/>
      <c r="K12" s="11"/>
      <c r="L12" s="11"/>
      <c r="M12" s="11"/>
      <c r="N12" s="11"/>
      <c r="O12" s="11"/>
      <c r="P12" s="67"/>
      <c r="R12" s="5"/>
      <c r="T12" s="5"/>
    </row>
    <row r="13" spans="12:20" ht="14.25">
      <c r="L13" s="23"/>
      <c r="N13" s="5"/>
      <c r="O13" s="5"/>
      <c r="P13" s="37"/>
      <c r="Q13" s="5"/>
      <c r="R13" s="5"/>
      <c r="S13" s="5"/>
      <c r="T13" s="5"/>
    </row>
    <row r="14" spans="1:20" ht="14.25">
      <c r="A14" s="4" t="s">
        <v>13</v>
      </c>
      <c r="G14" s="1" t="s">
        <v>2</v>
      </c>
      <c r="H14">
        <v>39.64</v>
      </c>
      <c r="I14">
        <v>56.48</v>
      </c>
      <c r="J14" s="5">
        <f>(7650710.23+160906.4)/199507</f>
        <v>39.154599237119506</v>
      </c>
      <c r="K14">
        <v>69.4</v>
      </c>
      <c r="L14" s="27">
        <f>5806793.64/201194</f>
        <v>28.861664065528792</v>
      </c>
      <c r="M14" s="38">
        <f>(11228005.98+247235.58)/202297</f>
        <v>56.724724340944256</v>
      </c>
      <c r="N14" s="40">
        <f>(12851081.64+19104.2)/202297</f>
        <v>63.6202506216108</v>
      </c>
      <c r="O14" s="40">
        <f>(10347952.06+1151721.39)/200143</f>
        <v>57.45728529101693</v>
      </c>
      <c r="P14" s="37">
        <f>14739344.6/189891</f>
        <v>77.62002727880731</v>
      </c>
      <c r="Q14" s="5"/>
      <c r="R14" s="5"/>
      <c r="T14" s="5"/>
    </row>
    <row r="15" spans="1:17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67"/>
      <c r="Q15" s="5"/>
    </row>
    <row r="16" spans="12:16" ht="14.25">
      <c r="L16" s="23"/>
      <c r="P16" s="69"/>
    </row>
    <row r="17" spans="1:16" ht="14.25">
      <c r="A17" s="4" t="s">
        <v>14</v>
      </c>
      <c r="G17" s="5"/>
      <c r="H17" s="19">
        <v>30872879.65</v>
      </c>
      <c r="I17" s="19">
        <v>27183896.1</v>
      </c>
      <c r="J17" s="19">
        <v>29800787.27</v>
      </c>
      <c r="K17" s="18">
        <v>30559249.83</v>
      </c>
      <c r="L17" s="36">
        <v>32385795.07</v>
      </c>
      <c r="M17" s="5">
        <v>26133137.37</v>
      </c>
      <c r="N17" s="5">
        <v>37569610.55</v>
      </c>
      <c r="O17" s="5">
        <v>40900866.2</v>
      </c>
      <c r="P17" s="37">
        <v>52614991.82</v>
      </c>
    </row>
    <row r="18" spans="8:16" ht="14.25">
      <c r="H18" s="17"/>
      <c r="I18" s="17"/>
      <c r="J18" s="17"/>
      <c r="K18" s="16"/>
      <c r="L18" s="23"/>
      <c r="P18" s="37"/>
    </row>
    <row r="19" spans="1:16" ht="14.25">
      <c r="A19" s="4" t="s">
        <v>17</v>
      </c>
      <c r="G19" s="1" t="s">
        <v>3</v>
      </c>
      <c r="H19" s="20">
        <f>+H17/200312</f>
        <v>154.1239648648109</v>
      </c>
      <c r="I19" s="20">
        <f>+I17/195180</f>
        <v>139.27603289271443</v>
      </c>
      <c r="J19" s="20">
        <f>+J17/199057</f>
        <v>149.70981814254208</v>
      </c>
      <c r="K19" s="18">
        <f>+K17/200830</f>
        <v>152.16476537369914</v>
      </c>
      <c r="L19" s="27">
        <f>+L17/201194</f>
        <v>160.9679964114238</v>
      </c>
      <c r="M19" s="38">
        <f>(M17/202297)</f>
        <v>129.18203122142197</v>
      </c>
      <c r="N19" s="6">
        <f>N17/202297</f>
        <v>185.71511465815112</v>
      </c>
      <c r="O19" s="6">
        <f>O17/200143</f>
        <v>204.3582148763634</v>
      </c>
      <c r="P19" s="70">
        <f>P17/189891</f>
        <v>277.07996598048356</v>
      </c>
    </row>
    <row r="20" spans="1:16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67"/>
    </row>
    <row r="21" spans="12:16" ht="14.25">
      <c r="L21" s="23"/>
      <c r="P21" s="69"/>
    </row>
    <row r="22" spans="1:16" ht="14.25">
      <c r="A22" s="10" t="s">
        <v>19</v>
      </c>
      <c r="B22" s="2"/>
      <c r="C22" s="2"/>
      <c r="D22" s="2"/>
      <c r="E22" s="2"/>
      <c r="G22" s="1" t="s">
        <v>15</v>
      </c>
      <c r="H22" s="5">
        <f>4796868.83/200312</f>
        <v>23.9469868505132</v>
      </c>
      <c r="I22" s="5">
        <f>5355150.01/195180</f>
        <v>27.43698129931345</v>
      </c>
      <c r="J22" s="5">
        <f>3920897.31/199057</f>
        <v>19.697359600516435</v>
      </c>
      <c r="K22" s="5">
        <v>36.415883627236646</v>
      </c>
      <c r="L22" s="27">
        <f>2822589.72/201194</f>
        <v>14.029194309969483</v>
      </c>
      <c r="M22" s="38">
        <f>6198776.86/202297</f>
        <v>30.641961373623932</v>
      </c>
      <c r="N22" s="45">
        <f>5156889.2/202297</f>
        <v>25.491674122700783</v>
      </c>
      <c r="O22" s="45">
        <f>6025781.11/200143</f>
        <v>30.107378774176464</v>
      </c>
      <c r="P22" s="83">
        <f>(1047199.17+6476087.87+56297.24)/189891</f>
        <v>39.91544770420926</v>
      </c>
    </row>
    <row r="23" spans="1:16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9"/>
    </row>
    <row r="24" spans="1:16" ht="14.25">
      <c r="A24" s="23"/>
      <c r="B24" s="23"/>
      <c r="C24" s="23"/>
      <c r="D24" s="23"/>
      <c r="E24" s="23"/>
      <c r="F24" s="23"/>
      <c r="G24" s="11"/>
      <c r="H24" s="23"/>
      <c r="I24" s="23"/>
      <c r="J24" s="23"/>
      <c r="L24" s="23"/>
      <c r="P24" s="25"/>
    </row>
    <row r="25" spans="1:16" ht="14.25">
      <c r="A25" s="4" t="s">
        <v>20</v>
      </c>
      <c r="G25" s="1" t="s">
        <v>12</v>
      </c>
      <c r="H25" s="21">
        <f aca="true" t="shared" si="0" ref="H25:M25">+H39/H40</f>
        <v>0.32409265788912667</v>
      </c>
      <c r="I25" s="21">
        <f t="shared" si="0"/>
        <v>0.33957558612141286</v>
      </c>
      <c r="J25" s="21">
        <f t="shared" si="0"/>
        <v>0.32123138379285987</v>
      </c>
      <c r="K25" s="21">
        <f t="shared" si="0"/>
        <v>0.3119203923522069</v>
      </c>
      <c r="L25" s="35">
        <f t="shared" si="0"/>
        <v>0.31996665060735796</v>
      </c>
      <c r="M25" s="35">
        <f t="shared" si="0"/>
        <v>0.319535530334678</v>
      </c>
      <c r="N25" s="35">
        <f>+N39/N40</f>
        <v>0.3206491594804343</v>
      </c>
      <c r="O25" s="35">
        <f>+O39/O40</f>
        <v>0.2916873845503452</v>
      </c>
      <c r="P25" s="72">
        <f>P39/P40</f>
        <v>0.2594319474231175</v>
      </c>
    </row>
    <row r="26" spans="12:16" ht="14.25">
      <c r="L26" s="23"/>
      <c r="M26" s="5"/>
      <c r="P26" s="25"/>
    </row>
    <row r="27" spans="2:19" ht="14.25">
      <c r="B27" s="9" t="s">
        <v>28</v>
      </c>
      <c r="C27" s="9"/>
      <c r="D27" s="9"/>
      <c r="E27" s="9"/>
      <c r="F27" s="11"/>
      <c r="H27" s="3">
        <v>2014</v>
      </c>
      <c r="I27" s="3">
        <v>2015</v>
      </c>
      <c r="J27" s="3">
        <v>2016</v>
      </c>
      <c r="K27" s="3">
        <v>2017</v>
      </c>
      <c r="L27" s="3">
        <v>2018</v>
      </c>
      <c r="M27" s="34">
        <v>2019</v>
      </c>
      <c r="N27" s="3">
        <v>2020</v>
      </c>
      <c r="O27" s="3">
        <v>2021</v>
      </c>
      <c r="P27" s="3">
        <v>2022</v>
      </c>
      <c r="Q27" s="47"/>
      <c r="R27" s="47"/>
      <c r="S27" s="48"/>
    </row>
    <row r="28" spans="2:21" ht="14.25">
      <c r="B28" s="7" t="s">
        <v>4</v>
      </c>
      <c r="C28" s="7"/>
      <c r="D28" s="7"/>
      <c r="E28" s="7"/>
      <c r="H28" s="5">
        <v>95529.74</v>
      </c>
      <c r="I28" s="8">
        <v>101693.13</v>
      </c>
      <c r="J28" s="5">
        <v>104581.96</v>
      </c>
      <c r="K28" s="5">
        <v>94682.11</v>
      </c>
      <c r="L28" s="27">
        <v>111303.84</v>
      </c>
      <c r="M28" s="5">
        <v>109543.23</v>
      </c>
      <c r="N28" s="5">
        <v>105185.39</v>
      </c>
      <c r="O28" s="5">
        <v>23334.32</v>
      </c>
      <c r="P28" s="71">
        <v>91726.91</v>
      </c>
      <c r="Q28" s="49"/>
      <c r="R28" s="50"/>
      <c r="S28" s="51"/>
      <c r="T28" s="54"/>
      <c r="U28" s="51"/>
    </row>
    <row r="29" spans="2:21" ht="14.25">
      <c r="B29" s="7" t="s">
        <v>5</v>
      </c>
      <c r="C29" s="7"/>
      <c r="D29" s="7"/>
      <c r="E29" s="7"/>
      <c r="H29" s="5">
        <v>42540077.91</v>
      </c>
      <c r="I29" s="8">
        <v>44938423.96</v>
      </c>
      <c r="J29" s="5">
        <v>44784284.54</v>
      </c>
      <c r="K29" s="5">
        <v>45631171.11</v>
      </c>
      <c r="L29" s="27">
        <v>46617043.67</v>
      </c>
      <c r="M29" s="5">
        <v>46378359.48</v>
      </c>
      <c r="N29" s="5">
        <v>46379939.99</v>
      </c>
      <c r="O29" s="5">
        <v>43334582.1</v>
      </c>
      <c r="P29" s="71">
        <v>45050280.12</v>
      </c>
      <c r="Q29" s="49"/>
      <c r="R29" s="50"/>
      <c r="S29" s="51"/>
      <c r="T29" s="54"/>
      <c r="U29" s="51"/>
    </row>
    <row r="30" spans="2:21" ht="14.25">
      <c r="B30" s="14" t="s">
        <v>6</v>
      </c>
      <c r="C30" s="14"/>
      <c r="D30" s="14"/>
      <c r="E30" s="14"/>
      <c r="F30" s="15"/>
      <c r="H30" s="5">
        <v>44035.19</v>
      </c>
      <c r="I30" s="8">
        <v>44238.45</v>
      </c>
      <c r="J30" s="5">
        <v>45540.03</v>
      </c>
      <c r="K30" s="5">
        <v>45568.89</v>
      </c>
      <c r="L30" s="27">
        <v>45540.03</v>
      </c>
      <c r="M30" s="5">
        <v>45636.76</v>
      </c>
      <c r="N30" s="5">
        <v>45540.03</v>
      </c>
      <c r="O30" s="5">
        <v>45540.03</v>
      </c>
      <c r="P30" s="71">
        <v>50600.04</v>
      </c>
      <c r="Q30" s="49"/>
      <c r="R30" s="50"/>
      <c r="S30" s="51"/>
      <c r="T30" s="54"/>
      <c r="U30" s="51"/>
    </row>
    <row r="31" spans="2:21" ht="14.25">
      <c r="B31" s="7" t="s">
        <v>7</v>
      </c>
      <c r="C31" s="7"/>
      <c r="D31" s="7"/>
      <c r="E31" s="7"/>
      <c r="G31" s="15"/>
      <c r="H31" s="5">
        <v>954840.21</v>
      </c>
      <c r="I31" s="8">
        <v>1282737.06</v>
      </c>
      <c r="J31" s="5">
        <v>1788674.35</v>
      </c>
      <c r="K31" s="5">
        <v>2366354.88</v>
      </c>
      <c r="L31" s="27">
        <v>2696308.62</v>
      </c>
      <c r="M31" s="5">
        <v>3702559.97</v>
      </c>
      <c r="N31" s="5">
        <v>2572887.95</v>
      </c>
      <c r="O31" s="5">
        <v>1130019.16</v>
      </c>
      <c r="P31" s="71">
        <v>2530983.71</v>
      </c>
      <c r="Q31" s="49"/>
      <c r="R31" s="50"/>
      <c r="S31" s="51"/>
      <c r="T31" s="54"/>
      <c r="U31" s="51"/>
    </row>
    <row r="32" spans="2:21" ht="14.25">
      <c r="B32" s="7" t="s">
        <v>8</v>
      </c>
      <c r="C32" s="7"/>
      <c r="D32" s="7"/>
      <c r="E32" s="7"/>
      <c r="H32" s="5">
        <v>1596977.2</v>
      </c>
      <c r="I32" s="8">
        <v>1566365.01</v>
      </c>
      <c r="J32" s="5">
        <f>-9022.06+1480145.6</f>
        <v>1471123.54</v>
      </c>
      <c r="K32" s="5">
        <v>1370106.22</v>
      </c>
      <c r="L32" s="27">
        <v>1714037.2</v>
      </c>
      <c r="M32" s="5">
        <v>2326034.11</v>
      </c>
      <c r="N32" s="5">
        <v>1647779.86</v>
      </c>
      <c r="O32" s="5">
        <v>1087556.08</v>
      </c>
      <c r="P32" s="71">
        <v>1725172.87</v>
      </c>
      <c r="Q32" s="49"/>
      <c r="R32" s="50"/>
      <c r="S32" s="51"/>
      <c r="T32" s="54"/>
      <c r="U32" s="51"/>
    </row>
    <row r="33" spans="2:21" ht="14.25">
      <c r="B33" s="7" t="s">
        <v>9</v>
      </c>
      <c r="C33" s="7"/>
      <c r="D33" s="7"/>
      <c r="E33" s="7"/>
      <c r="H33" s="5">
        <v>477104.52</v>
      </c>
      <c r="I33" s="8">
        <v>834163.29</v>
      </c>
      <c r="J33" s="5">
        <v>1031190.95</v>
      </c>
      <c r="K33" s="5">
        <v>1482148.03</v>
      </c>
      <c r="L33" s="27">
        <v>31614.3</v>
      </c>
      <c r="M33" s="5">
        <f>1000016.69+11521.8</f>
        <v>1011538.49</v>
      </c>
      <c r="N33" s="39">
        <v>15558.25</v>
      </c>
      <c r="O33" s="39">
        <v>179159.42</v>
      </c>
      <c r="P33" s="6">
        <f>34201+756+1237055.61</f>
        <v>1272012.61</v>
      </c>
      <c r="Q33" s="49"/>
      <c r="R33" s="50"/>
      <c r="S33" s="51"/>
      <c r="T33" s="54"/>
      <c r="U33" s="51"/>
    </row>
    <row r="34" spans="2:21" ht="14.25">
      <c r="B34" t="s">
        <v>29</v>
      </c>
      <c r="H34" s="5">
        <v>0</v>
      </c>
      <c r="I34" s="8">
        <v>0</v>
      </c>
      <c r="J34" s="5">
        <v>0</v>
      </c>
      <c r="K34" s="5">
        <v>0</v>
      </c>
      <c r="L34" s="27">
        <v>568002.12</v>
      </c>
      <c r="M34" s="5">
        <v>0</v>
      </c>
      <c r="N34" s="5">
        <v>149778</v>
      </c>
      <c r="O34" s="5">
        <v>149778</v>
      </c>
      <c r="P34" s="6">
        <v>0</v>
      </c>
      <c r="Q34" s="49"/>
      <c r="R34" s="50"/>
      <c r="S34" s="51"/>
      <c r="T34" s="54"/>
      <c r="U34" s="51"/>
    </row>
    <row r="35" spans="2:21" ht="14.25">
      <c r="B35" s="7" t="s">
        <v>10</v>
      </c>
      <c r="C35" s="7"/>
      <c r="D35" s="7"/>
      <c r="E35" s="7"/>
      <c r="H35" s="5">
        <v>20519.44</v>
      </c>
      <c r="I35" s="8">
        <v>12661.71</v>
      </c>
      <c r="J35" s="5">
        <v>24081.18</v>
      </c>
      <c r="K35" s="5">
        <v>3541.8</v>
      </c>
      <c r="L35" s="27">
        <v>7065.78</v>
      </c>
      <c r="M35" s="5">
        <v>3026.68</v>
      </c>
      <c r="N35" s="5">
        <f>21176.32+282798.04</f>
        <v>303974.36</v>
      </c>
      <c r="O35" s="5">
        <f>10719.2+17604.33</f>
        <v>28323.530000000002</v>
      </c>
      <c r="P35" s="6">
        <v>2525.01</v>
      </c>
      <c r="Q35" s="47"/>
      <c r="R35" s="47"/>
      <c r="S35" s="48"/>
      <c r="T35" s="55"/>
      <c r="U35" s="48"/>
    </row>
    <row r="36" spans="2:20" ht="14.25">
      <c r="B36" s="7" t="s">
        <v>11</v>
      </c>
      <c r="C36" s="7"/>
      <c r="D36" s="7"/>
      <c r="E36" s="7"/>
      <c r="H36" s="5">
        <v>3929.26</v>
      </c>
      <c r="I36" s="8">
        <v>17600.72</v>
      </c>
      <c r="J36" s="5">
        <v>29930.08</v>
      </c>
      <c r="K36" s="5">
        <v>16525.5</v>
      </c>
      <c r="L36" s="27">
        <v>41046.87</v>
      </c>
      <c r="M36" s="5">
        <v>23278.62</v>
      </c>
      <c r="N36" s="5">
        <v>0</v>
      </c>
      <c r="O36" s="5">
        <v>0</v>
      </c>
      <c r="P36" s="6">
        <v>3254.58</v>
      </c>
      <c r="Q36" s="47"/>
      <c r="R36" s="47"/>
      <c r="S36" s="48"/>
      <c r="T36" s="56"/>
    </row>
    <row r="37" spans="2:21" ht="14.25">
      <c r="B37" s="7" t="s">
        <v>26</v>
      </c>
      <c r="C37" s="7"/>
      <c r="D37" s="7"/>
      <c r="E37" s="7"/>
      <c r="H37" s="5">
        <v>0</v>
      </c>
      <c r="I37" s="8">
        <v>1489600</v>
      </c>
      <c r="J37" s="5">
        <v>577290.16</v>
      </c>
      <c r="K37" s="5">
        <v>76315.18</v>
      </c>
      <c r="L37" s="27">
        <v>12517.1</v>
      </c>
      <c r="M37" s="5">
        <v>0</v>
      </c>
      <c r="N37" s="5">
        <v>0</v>
      </c>
      <c r="O37" s="5">
        <v>491641.74</v>
      </c>
      <c r="P37" s="6">
        <v>34418.35</v>
      </c>
      <c r="Q37" s="49"/>
      <c r="R37" s="50"/>
      <c r="S37" s="51"/>
      <c r="T37" s="54"/>
      <c r="U37" s="51"/>
    </row>
    <row r="38" spans="8:21" ht="14.25">
      <c r="H38" s="12"/>
      <c r="I38" s="9"/>
      <c r="J38" s="12"/>
      <c r="K38" s="11"/>
      <c r="L38" s="28"/>
      <c r="M38" s="11"/>
      <c r="N38" s="11"/>
      <c r="O38" s="11"/>
      <c r="Q38" s="49"/>
      <c r="R38" s="50"/>
      <c r="S38" s="51"/>
      <c r="T38" s="54"/>
      <c r="U38" s="51"/>
    </row>
    <row r="39" spans="8:21" ht="14.25">
      <c r="H39" s="6">
        <f aca="true" t="shared" si="1" ref="H39:O39">SUM(H28:H37)</f>
        <v>45733013.47</v>
      </c>
      <c r="I39" s="6">
        <f t="shared" si="1"/>
        <v>50287483.330000006</v>
      </c>
      <c r="J39" s="37">
        <f>SUM(J28:J37)</f>
        <v>49856696.79</v>
      </c>
      <c r="K39" s="37">
        <f t="shared" si="1"/>
        <v>51086413.72</v>
      </c>
      <c r="L39" s="37">
        <f t="shared" si="1"/>
        <v>51844479.53</v>
      </c>
      <c r="M39" s="37">
        <f t="shared" si="1"/>
        <v>53599977.33999999</v>
      </c>
      <c r="N39" s="37">
        <f t="shared" si="1"/>
        <v>51220643.830000006</v>
      </c>
      <c r="O39" s="37">
        <f t="shared" si="1"/>
        <v>46469934.38</v>
      </c>
      <c r="P39" s="69">
        <f>SUM(P28:P37)</f>
        <v>50760974.19999999</v>
      </c>
      <c r="Q39" s="49"/>
      <c r="R39" s="50"/>
      <c r="S39" s="51"/>
      <c r="T39" s="54"/>
      <c r="U39" s="51"/>
    </row>
    <row r="40" spans="1:21" ht="14.25">
      <c r="A40" s="11"/>
      <c r="B40" s="9" t="s">
        <v>27</v>
      </c>
      <c r="C40" s="9"/>
      <c r="D40" s="9"/>
      <c r="E40" s="9"/>
      <c r="F40" s="11"/>
      <c r="G40" s="11"/>
      <c r="H40" s="12">
        <v>141110921.08</v>
      </c>
      <c r="I40" s="12">
        <v>148089218.97</v>
      </c>
      <c r="J40" s="12">
        <v>155204937.33</v>
      </c>
      <c r="K40" s="12">
        <v>163780294.5</v>
      </c>
      <c r="L40" s="12">
        <v>162030884.88</v>
      </c>
      <c r="M40" s="12">
        <v>167743403.32</v>
      </c>
      <c r="N40" s="12">
        <v>159740458.74</v>
      </c>
      <c r="O40" s="12">
        <v>159314172.78</v>
      </c>
      <c r="P40" s="67">
        <v>195662001.94</v>
      </c>
      <c r="Q40" s="49"/>
      <c r="R40" s="50"/>
      <c r="S40" s="51"/>
      <c r="T40" s="54"/>
      <c r="U40" s="51"/>
    </row>
    <row r="41" spans="1:21" ht="14.25">
      <c r="A41" s="23"/>
      <c r="B41" s="25"/>
      <c r="C41" s="25"/>
      <c r="D41" s="25"/>
      <c r="E41" s="25"/>
      <c r="F41" s="23"/>
      <c r="G41" s="23"/>
      <c r="H41" s="23"/>
      <c r="I41" s="27"/>
      <c r="J41" s="27"/>
      <c r="K41" s="27"/>
      <c r="L41" s="27"/>
      <c r="Q41" s="49"/>
      <c r="R41" s="50"/>
      <c r="S41" s="51"/>
      <c r="T41" s="54"/>
      <c r="U41" s="51"/>
    </row>
    <row r="42" spans="1:21" ht="14.25">
      <c r="A42" s="13" t="s">
        <v>40</v>
      </c>
      <c r="B42" s="13"/>
      <c r="C42" s="13"/>
      <c r="D42" s="13"/>
      <c r="E42" s="13"/>
      <c r="F42" s="13"/>
      <c r="G42" s="13"/>
      <c r="H42" s="13"/>
      <c r="I42" s="13"/>
      <c r="J42" s="13"/>
      <c r="L42" s="23"/>
      <c r="Q42" s="49"/>
      <c r="R42" s="50"/>
      <c r="S42" s="51"/>
      <c r="T42" s="54"/>
      <c r="U42" s="51"/>
    </row>
    <row r="43" spans="2:21" ht="14.25">
      <c r="B43" s="15"/>
      <c r="C43" s="15"/>
      <c r="D43" s="15"/>
      <c r="E43" s="15"/>
      <c r="F43" s="15"/>
      <c r="G43" s="15"/>
      <c r="H43" s="15"/>
      <c r="L43" s="23"/>
      <c r="Q43" s="49"/>
      <c r="R43" s="50"/>
      <c r="S43" s="51"/>
      <c r="T43" s="54"/>
      <c r="U43" s="51"/>
    </row>
    <row r="44" spans="17:20" ht="14.25">
      <c r="Q44" s="47"/>
      <c r="R44" s="47"/>
      <c r="S44" s="48"/>
      <c r="T44" s="55"/>
    </row>
    <row r="45" spans="17:20" ht="14.25">
      <c r="Q45" s="49"/>
      <c r="R45" s="47"/>
      <c r="S45" s="48"/>
      <c r="T45" s="57"/>
    </row>
    <row r="46" spans="17:20" ht="14.25">
      <c r="Q46" s="49"/>
      <c r="R46" s="47"/>
      <c r="S46" s="48"/>
      <c r="T46" s="57"/>
    </row>
    <row r="47" spans="17:20" ht="14.25">
      <c r="Q47" s="49"/>
      <c r="R47" s="47"/>
      <c r="S47" s="48"/>
      <c r="T47" s="57"/>
    </row>
    <row r="48" spans="17:20" ht="14.25">
      <c r="Q48" s="49"/>
      <c r="R48" s="47"/>
      <c r="S48" s="48"/>
      <c r="T48" s="58"/>
    </row>
    <row r="49" spans="17:21" ht="14.25">
      <c r="Q49" s="52"/>
      <c r="R49" s="52"/>
      <c r="S49" s="53"/>
      <c r="T49" s="59"/>
      <c r="U49" s="53"/>
    </row>
    <row r="50" spans="17:21" ht="14.25">
      <c r="Q50" s="52"/>
      <c r="R50" s="47"/>
      <c r="S50" s="53"/>
      <c r="T50" s="59"/>
      <c r="U50" s="53"/>
    </row>
    <row r="51" spans="17:21" ht="14.25">
      <c r="Q51" s="47"/>
      <c r="R51" s="47"/>
      <c r="S51" s="53"/>
      <c r="T51" s="55"/>
      <c r="U51" s="53"/>
    </row>
    <row r="52" spans="17:20" ht="14.25">
      <c r="Q52" s="47"/>
      <c r="R52" s="50"/>
      <c r="S52" s="48"/>
      <c r="T52" s="55"/>
    </row>
    <row r="53" spans="17:21" ht="14.25">
      <c r="Q53" s="47"/>
      <c r="R53" s="47"/>
      <c r="S53" s="48"/>
      <c r="T53" s="55"/>
      <c r="U53" s="48"/>
    </row>
    <row r="54" spans="17:20" ht="14.25">
      <c r="Q54" s="47"/>
      <c r="R54" s="47"/>
      <c r="S54" s="48"/>
      <c r="T54" s="56"/>
    </row>
    <row r="55" spans="17:21" ht="14.25">
      <c r="Q55" s="49"/>
      <c r="R55" s="50"/>
      <c r="S55" s="51"/>
      <c r="T55" s="54"/>
      <c r="U55" s="51"/>
    </row>
    <row r="56" spans="17:21" ht="14.25">
      <c r="Q56" s="49"/>
      <c r="R56" s="50"/>
      <c r="S56" s="51"/>
      <c r="T56" s="54"/>
      <c r="U56" s="51"/>
    </row>
    <row r="57" spans="17:21" ht="14.25">
      <c r="Q57" s="49"/>
      <c r="R57" s="50"/>
      <c r="S57" s="51"/>
      <c r="T57" s="54"/>
      <c r="U57" s="51"/>
    </row>
    <row r="58" spans="17:21" ht="14.25">
      <c r="Q58" s="49"/>
      <c r="R58" s="50"/>
      <c r="S58" s="51"/>
      <c r="T58" s="54"/>
      <c r="U58" s="51"/>
    </row>
    <row r="59" spans="17:22" ht="14.25">
      <c r="Q59" s="49"/>
      <c r="R59" s="50"/>
      <c r="S59" s="51"/>
      <c r="T59" s="54"/>
      <c r="U59" s="51"/>
      <c r="V59" s="5"/>
    </row>
    <row r="60" spans="17:21" ht="14.25">
      <c r="Q60" s="49"/>
      <c r="R60" s="50"/>
      <c r="S60" s="51"/>
      <c r="T60" s="54"/>
      <c r="U60" s="51"/>
    </row>
    <row r="61" spans="17:21" ht="14.25">
      <c r="Q61" s="49"/>
      <c r="R61" s="50"/>
      <c r="S61" s="51"/>
      <c r="T61" s="54"/>
      <c r="U61" s="51"/>
    </row>
    <row r="62" spans="17:21" ht="14.25">
      <c r="Q62" s="49"/>
      <c r="R62" s="50"/>
      <c r="S62" s="51"/>
      <c r="T62" s="54"/>
      <c r="U62" s="51"/>
    </row>
    <row r="63" spans="17:21" ht="14.25">
      <c r="Q63" s="49"/>
      <c r="R63" s="50"/>
      <c r="S63" s="51"/>
      <c r="T63" s="54"/>
      <c r="U63" s="51"/>
    </row>
    <row r="64" spans="17:21" ht="14.25">
      <c r="Q64" s="49"/>
      <c r="R64" s="50"/>
      <c r="S64" s="51"/>
      <c r="T64" s="54"/>
      <c r="U64" s="51"/>
    </row>
    <row r="65" spans="17:21" ht="14.25">
      <c r="Q65" s="49"/>
      <c r="R65" s="50"/>
      <c r="S65" s="51"/>
      <c r="T65" s="54"/>
      <c r="U65" s="51"/>
    </row>
    <row r="66" spans="17:21" ht="14.25">
      <c r="Q66" s="49"/>
      <c r="R66" s="50"/>
      <c r="S66" s="51"/>
      <c r="T66" s="54"/>
      <c r="U66" s="51"/>
    </row>
    <row r="67" spans="17:21" ht="14.25">
      <c r="Q67" s="49"/>
      <c r="R67" s="50"/>
      <c r="S67" s="51"/>
      <c r="T67" s="54"/>
      <c r="U67" s="51"/>
    </row>
    <row r="68" spans="17:21" ht="14.25">
      <c r="Q68" s="49"/>
      <c r="R68" s="50"/>
      <c r="S68" s="51"/>
      <c r="T68" s="54"/>
      <c r="U68" s="51"/>
    </row>
    <row r="69" spans="17:20" ht="14.25">
      <c r="Q69" s="47"/>
      <c r="R69" s="47"/>
      <c r="S69" s="48"/>
      <c r="T69" s="55"/>
    </row>
    <row r="70" spans="17:20" ht="14.25">
      <c r="Q70" s="49"/>
      <c r="R70" s="47"/>
      <c r="S70" s="48"/>
      <c r="T70" s="57"/>
    </row>
    <row r="71" spans="17:20" ht="14.25">
      <c r="Q71" s="49"/>
      <c r="R71" s="47"/>
      <c r="S71" s="48"/>
      <c r="T71" s="57"/>
    </row>
    <row r="72" spans="17:20" ht="14.25">
      <c r="Q72" s="49"/>
      <c r="R72" s="47"/>
      <c r="S72" s="48"/>
      <c r="T72" s="57"/>
    </row>
    <row r="73" spans="17:20" ht="14.25">
      <c r="Q73" s="49"/>
      <c r="R73" s="47"/>
      <c r="S73" s="48"/>
      <c r="T73" s="58"/>
    </row>
    <row r="74" spans="17:21" ht="14.25">
      <c r="Q74" s="52"/>
      <c r="R74" s="52"/>
      <c r="S74" s="53"/>
      <c r="T74" s="59"/>
      <c r="U74" s="53"/>
    </row>
    <row r="75" spans="17:21" ht="14.25">
      <c r="Q75" s="52"/>
      <c r="R75" s="47"/>
      <c r="S75" s="53"/>
      <c r="T75" s="59"/>
      <c r="U75" s="53"/>
    </row>
    <row r="76" spans="17:21" ht="14.25">
      <c r="Q76" s="47"/>
      <c r="R76" s="47"/>
      <c r="S76" s="53"/>
      <c r="T76" s="55"/>
      <c r="U76" s="53"/>
    </row>
    <row r="77" spans="17:21" ht="14.25">
      <c r="Q77" s="47"/>
      <c r="R77" s="50"/>
      <c r="S77" s="51"/>
      <c r="T77" s="55"/>
      <c r="U77" s="51"/>
    </row>
    <row r="78" spans="17:21" ht="14.25">
      <c r="Q78" s="49"/>
      <c r="R78" s="50"/>
      <c r="S78" s="51"/>
      <c r="T78" s="54"/>
      <c r="U78" s="51"/>
    </row>
    <row r="79" spans="17:21" ht="14.25">
      <c r="Q79" s="49"/>
      <c r="R79" s="50"/>
      <c r="S79" s="51"/>
      <c r="T79" s="54"/>
      <c r="U79" s="51"/>
    </row>
    <row r="80" spans="17:21" ht="14.25">
      <c r="Q80" s="49"/>
      <c r="R80" s="50"/>
      <c r="S80" s="51"/>
      <c r="T80" s="54"/>
      <c r="U80" s="51"/>
    </row>
    <row r="81" spans="17:21" ht="14.25">
      <c r="Q81" s="49"/>
      <c r="R81" s="50"/>
      <c r="S81" s="51"/>
      <c r="T81" s="54"/>
      <c r="U81" s="51"/>
    </row>
    <row r="82" spans="17:21" ht="14.25">
      <c r="Q82" s="49"/>
      <c r="R82" s="50"/>
      <c r="S82" s="51"/>
      <c r="T82" s="54"/>
      <c r="U82" s="51"/>
    </row>
    <row r="83" spans="17:21" ht="14.25">
      <c r="Q83" s="49"/>
      <c r="R83" s="50"/>
      <c r="S83" s="51"/>
      <c r="T83" s="54"/>
      <c r="U83" s="51"/>
    </row>
    <row r="84" spans="17:21" ht="14.25">
      <c r="Q84" s="49"/>
      <c r="R84" s="50"/>
      <c r="S84" s="51"/>
      <c r="T84" s="54"/>
      <c r="U84" s="51"/>
    </row>
    <row r="85" spans="17:21" ht="14.25">
      <c r="Q85" s="49"/>
      <c r="R85" s="50"/>
      <c r="S85" s="51"/>
      <c r="T85" s="54"/>
      <c r="U85" s="51"/>
    </row>
    <row r="86" spans="17:21" ht="14.25">
      <c r="Q86" s="49"/>
      <c r="R86" s="50"/>
      <c r="S86" s="51"/>
      <c r="T86" s="54"/>
      <c r="U86" s="51"/>
    </row>
    <row r="87" spans="17:21" ht="14.25">
      <c r="Q87" s="49"/>
      <c r="R87" s="50"/>
      <c r="S87" s="51"/>
      <c r="T87" s="54"/>
      <c r="U87" s="51"/>
    </row>
    <row r="88" spans="17:21" ht="14.25">
      <c r="Q88" s="49"/>
      <c r="R88" s="50"/>
      <c r="S88" s="51"/>
      <c r="T88" s="54"/>
      <c r="U88" s="51"/>
    </row>
    <row r="89" spans="17:21" ht="14.25">
      <c r="Q89" s="49"/>
      <c r="R89" s="50"/>
      <c r="S89" s="51"/>
      <c r="T89" s="54"/>
      <c r="U89" s="51"/>
    </row>
    <row r="90" spans="17:21" ht="14.25">
      <c r="Q90" s="49"/>
      <c r="R90" s="50"/>
      <c r="S90" s="51"/>
      <c r="T90" s="54"/>
      <c r="U90" s="51"/>
    </row>
    <row r="91" spans="17:21" ht="14.25">
      <c r="Q91" s="49"/>
      <c r="R91" s="50"/>
      <c r="S91" s="51"/>
      <c r="T91" s="54"/>
      <c r="U91" s="51"/>
    </row>
    <row r="92" spans="17:21" ht="14.25">
      <c r="Q92" s="49"/>
      <c r="R92" s="50"/>
      <c r="S92" s="51"/>
      <c r="T92" s="54"/>
      <c r="U92" s="51"/>
    </row>
    <row r="93" spans="17:21" ht="14.25">
      <c r="Q93" s="49"/>
      <c r="R93" s="50"/>
      <c r="S93" s="51"/>
      <c r="T93" s="54"/>
      <c r="U93" s="51"/>
    </row>
    <row r="94" spans="17:20" ht="14.25">
      <c r="Q94" s="47"/>
      <c r="R94" s="47"/>
      <c r="S94" s="48"/>
      <c r="T94" s="55"/>
    </row>
    <row r="95" spans="17:20" ht="14.25">
      <c r="Q95" s="49"/>
      <c r="R95" s="47"/>
      <c r="S95" s="48"/>
      <c r="T95" s="57"/>
    </row>
    <row r="96" spans="17:20" ht="14.25">
      <c r="Q96" s="49"/>
      <c r="R96" s="47"/>
      <c r="S96" s="48"/>
      <c r="T96" s="57"/>
    </row>
    <row r="97" spans="17:20" ht="14.25">
      <c r="Q97" s="49"/>
      <c r="R97" s="47"/>
      <c r="S97" s="48"/>
      <c r="T97" s="57"/>
    </row>
    <row r="98" spans="17:20" ht="14.25">
      <c r="Q98" s="49"/>
      <c r="R98" s="47"/>
      <c r="S98" s="48"/>
      <c r="T98" s="58"/>
    </row>
    <row r="99" spans="17:21" ht="14.25">
      <c r="Q99" s="52"/>
      <c r="R99" s="52"/>
      <c r="S99" s="53"/>
      <c r="T99" s="59"/>
      <c r="U99" s="53"/>
    </row>
    <row r="100" spans="17:21" ht="14.25">
      <c r="Q100" s="52"/>
      <c r="R100" s="47"/>
      <c r="S100" s="53"/>
      <c r="T100" s="59"/>
      <c r="U100" s="53"/>
    </row>
    <row r="101" spans="17:21" ht="14.25">
      <c r="Q101" s="47"/>
      <c r="R101" s="47"/>
      <c r="S101" s="53"/>
      <c r="T101" s="55"/>
      <c r="U101" s="53"/>
    </row>
    <row r="102" spans="17:21" ht="14.25">
      <c r="Q102" s="47"/>
      <c r="R102" s="50"/>
      <c r="S102" s="51"/>
      <c r="T102" s="55"/>
      <c r="U102" s="51"/>
    </row>
    <row r="103" spans="17:21" ht="14.25">
      <c r="Q103" s="49"/>
      <c r="R103" s="50"/>
      <c r="S103" s="51"/>
      <c r="T103" s="54"/>
      <c r="U103" s="51"/>
    </row>
    <row r="104" spans="17:21" ht="14.25">
      <c r="Q104" s="49"/>
      <c r="R104" s="50"/>
      <c r="S104" s="51"/>
      <c r="T104" s="54"/>
      <c r="U104" s="51"/>
    </row>
    <row r="105" spans="17:21" ht="14.25">
      <c r="Q105" s="49"/>
      <c r="R105" s="50"/>
      <c r="S105" s="51"/>
      <c r="T105" s="54"/>
      <c r="U105" s="51"/>
    </row>
    <row r="106" spans="17:21" ht="14.25">
      <c r="Q106" s="49"/>
      <c r="R106" s="50"/>
      <c r="S106" s="51"/>
      <c r="T106" s="54"/>
      <c r="U106" s="51"/>
    </row>
    <row r="107" spans="17:21" ht="14.25">
      <c r="Q107" s="49"/>
      <c r="R107" s="50"/>
      <c r="S107" s="51"/>
      <c r="T107" s="54"/>
      <c r="U107" s="51"/>
    </row>
    <row r="108" spans="17:21" ht="14.25">
      <c r="Q108" s="49"/>
      <c r="R108" s="50"/>
      <c r="S108" s="51"/>
      <c r="T108" s="54"/>
      <c r="U108" s="51"/>
    </row>
    <row r="109" spans="17:21" ht="14.25">
      <c r="Q109" s="49"/>
      <c r="R109" s="50"/>
      <c r="S109" s="51"/>
      <c r="T109" s="54"/>
      <c r="U109" s="51"/>
    </row>
    <row r="110" spans="17:21" ht="14.25">
      <c r="Q110" s="49"/>
      <c r="R110" s="50"/>
      <c r="S110" s="51"/>
      <c r="T110" s="54"/>
      <c r="U110" s="51"/>
    </row>
    <row r="111" spans="17:21" ht="14.25">
      <c r="Q111" s="49"/>
      <c r="R111" s="50"/>
      <c r="S111" s="51"/>
      <c r="T111" s="54"/>
      <c r="U111" s="51"/>
    </row>
    <row r="112" spans="17:21" ht="14.25">
      <c r="Q112" s="49"/>
      <c r="R112" s="50"/>
      <c r="S112" s="51"/>
      <c r="T112" s="54"/>
      <c r="U112" s="51"/>
    </row>
    <row r="113" spans="17:21" ht="14.25">
      <c r="Q113" s="49"/>
      <c r="R113" s="50"/>
      <c r="S113" s="51"/>
      <c r="T113" s="54"/>
      <c r="U113" s="51"/>
    </row>
    <row r="114" spans="17:21" ht="14.25">
      <c r="Q114" s="49"/>
      <c r="R114" s="50"/>
      <c r="S114" s="51"/>
      <c r="T114" s="54"/>
      <c r="U114" s="51"/>
    </row>
    <row r="115" spans="17:21" ht="14.25">
      <c r="Q115" s="49"/>
      <c r="R115" s="50"/>
      <c r="S115" s="51"/>
      <c r="T115" s="54"/>
      <c r="U115" s="51"/>
    </row>
    <row r="116" spans="17:21" ht="14.25">
      <c r="Q116" s="49"/>
      <c r="R116" s="50"/>
      <c r="S116" s="51"/>
      <c r="T116" s="54"/>
      <c r="U116" s="51"/>
    </row>
    <row r="117" spans="17:21" ht="14.25">
      <c r="Q117" s="49"/>
      <c r="R117" s="50"/>
      <c r="S117" s="51"/>
      <c r="T117" s="54"/>
      <c r="U117" s="51"/>
    </row>
    <row r="118" spans="17:21" ht="14.25">
      <c r="Q118" s="49"/>
      <c r="R118" s="50"/>
      <c r="S118" s="51"/>
      <c r="T118" s="54"/>
      <c r="U118" s="51"/>
    </row>
    <row r="119" spans="17:21" ht="14.25">
      <c r="Q119" s="49"/>
      <c r="R119" s="50"/>
      <c r="S119" s="51"/>
      <c r="T119" s="54"/>
      <c r="U119" s="51"/>
    </row>
    <row r="120" spans="17:21" ht="14.25">
      <c r="Q120" s="49"/>
      <c r="R120" s="50"/>
      <c r="S120" s="51"/>
      <c r="T120" s="54"/>
      <c r="U120" s="51"/>
    </row>
    <row r="121" spans="17:21" ht="14.25">
      <c r="Q121" s="49"/>
      <c r="R121" s="50"/>
      <c r="S121" s="51"/>
      <c r="T121" s="54"/>
      <c r="U121" s="51"/>
    </row>
    <row r="122" spans="17:21" ht="14.25">
      <c r="Q122" s="49"/>
      <c r="R122" s="50"/>
      <c r="S122" s="51"/>
      <c r="T122" s="54"/>
      <c r="U122" s="51"/>
    </row>
    <row r="123" spans="17:21" ht="14.25">
      <c r="Q123" s="49"/>
      <c r="R123" s="50"/>
      <c r="S123" s="51"/>
      <c r="T123" s="54"/>
      <c r="U123" s="51"/>
    </row>
    <row r="124" spans="17:21" ht="14.25">
      <c r="Q124" s="49"/>
      <c r="R124" s="50"/>
      <c r="S124" s="51"/>
      <c r="T124" s="54"/>
      <c r="U124" s="51"/>
    </row>
    <row r="125" spans="17:21" ht="14.25">
      <c r="Q125" s="49"/>
      <c r="R125" s="50"/>
      <c r="S125" s="51"/>
      <c r="T125" s="54"/>
      <c r="U125" s="51"/>
    </row>
    <row r="126" spans="17:21" ht="14.25">
      <c r="Q126" s="49"/>
      <c r="R126" s="50"/>
      <c r="S126" s="51"/>
      <c r="T126" s="54"/>
      <c r="U126" s="51"/>
    </row>
    <row r="127" spans="17:21" ht="14.25">
      <c r="Q127" s="49"/>
      <c r="R127" s="50"/>
      <c r="S127" s="51"/>
      <c r="T127" s="54"/>
      <c r="U127" s="51"/>
    </row>
    <row r="128" spans="17:21" ht="14.25">
      <c r="Q128" s="49"/>
      <c r="R128" s="50"/>
      <c r="S128" s="51"/>
      <c r="T128" s="54"/>
      <c r="U128" s="51"/>
    </row>
    <row r="129" spans="17:21" ht="14.25">
      <c r="Q129" s="49"/>
      <c r="R129" s="50"/>
      <c r="S129" s="51"/>
      <c r="T129" s="54"/>
      <c r="U129" s="51"/>
    </row>
    <row r="130" spans="17:21" ht="14.25">
      <c r="Q130" s="49"/>
      <c r="R130" s="50"/>
      <c r="S130" s="51"/>
      <c r="T130" s="54"/>
      <c r="U130" s="51"/>
    </row>
    <row r="131" spans="17:21" ht="14.25">
      <c r="Q131" s="49"/>
      <c r="R131" s="50"/>
      <c r="S131" s="51"/>
      <c r="T131" s="54"/>
      <c r="U131" s="51"/>
    </row>
    <row r="132" spans="17:21" ht="14.25">
      <c r="Q132" s="49"/>
      <c r="R132" s="50"/>
      <c r="S132" s="51"/>
      <c r="T132" s="54"/>
      <c r="U132" s="51"/>
    </row>
    <row r="133" spans="17:21" ht="14.25">
      <c r="Q133" s="49"/>
      <c r="R133" s="50"/>
      <c r="S133" s="51"/>
      <c r="T133" s="54"/>
      <c r="U133" s="51"/>
    </row>
    <row r="134" spans="17:21" ht="14.25">
      <c r="Q134" s="49"/>
      <c r="R134" s="50"/>
      <c r="S134" s="51"/>
      <c r="T134" s="54"/>
      <c r="U134" s="51"/>
    </row>
    <row r="135" spans="17:21" ht="14.25">
      <c r="Q135" s="49"/>
      <c r="R135" s="50"/>
      <c r="S135" s="51"/>
      <c r="T135" s="54"/>
      <c r="U135" s="51"/>
    </row>
    <row r="136" spans="17:20" ht="14.25">
      <c r="Q136" s="47"/>
      <c r="R136" s="47"/>
      <c r="S136" s="48"/>
      <c r="T136" s="55"/>
    </row>
    <row r="137" spans="17:20" ht="14.25">
      <c r="Q137" s="49"/>
      <c r="R137" s="47"/>
      <c r="S137" s="48"/>
      <c r="T137" s="57"/>
    </row>
    <row r="138" spans="17:20" ht="14.25">
      <c r="Q138" s="49"/>
      <c r="R138" s="47"/>
      <c r="S138" s="48"/>
      <c r="T138" s="57"/>
    </row>
    <row r="139" spans="17:20" ht="14.25">
      <c r="Q139" s="49"/>
      <c r="R139" s="47"/>
      <c r="S139" s="48"/>
      <c r="T139" s="57"/>
    </row>
    <row r="140" spans="17:20" ht="14.25">
      <c r="Q140" s="49"/>
      <c r="R140" s="47"/>
      <c r="S140" s="48"/>
      <c r="T140" s="58"/>
    </row>
    <row r="141" spans="17:21" ht="14.25">
      <c r="Q141" s="52"/>
      <c r="R141" s="52"/>
      <c r="S141" s="53"/>
      <c r="T141" s="59"/>
      <c r="U141" s="53"/>
    </row>
    <row r="142" spans="17:21" ht="14.25">
      <c r="Q142" s="52"/>
      <c r="R142" s="47"/>
      <c r="S142" s="53"/>
      <c r="T142" s="59"/>
      <c r="U142" s="53"/>
    </row>
    <row r="143" spans="17:21" ht="14.25">
      <c r="Q143" s="47"/>
      <c r="R143" s="47"/>
      <c r="S143" s="53"/>
      <c r="T143" s="55"/>
      <c r="U143" s="53"/>
    </row>
    <row r="144" spans="17:21" ht="14.25">
      <c r="Q144" s="47"/>
      <c r="R144" s="50"/>
      <c r="S144" s="51"/>
      <c r="T144" s="55"/>
      <c r="U144" s="51"/>
    </row>
    <row r="145" spans="17:21" ht="14.25">
      <c r="Q145" s="49"/>
      <c r="R145" s="50"/>
      <c r="S145" s="51"/>
      <c r="T145" s="55"/>
      <c r="U145" s="48"/>
    </row>
    <row r="146" spans="17:20" ht="14.25">
      <c r="Q146" s="49"/>
      <c r="R146" s="50"/>
      <c r="S146" s="51"/>
      <c r="T146" s="56"/>
    </row>
    <row r="147" spans="17:21" ht="14.25">
      <c r="Q147" s="47"/>
      <c r="R147" s="47"/>
      <c r="S147" s="48"/>
      <c r="T147" s="54"/>
      <c r="U147" s="51"/>
    </row>
    <row r="148" spans="17:21" ht="14.25">
      <c r="Q148" s="47"/>
      <c r="R148" s="47"/>
      <c r="S148" s="48"/>
      <c r="T148" s="54"/>
      <c r="U148" s="51"/>
    </row>
    <row r="149" spans="17:21" ht="14.25">
      <c r="Q149" s="49"/>
      <c r="R149" s="50"/>
      <c r="S149" s="51"/>
      <c r="T149" s="54"/>
      <c r="U149" s="51"/>
    </row>
    <row r="150" spans="17:21" ht="14.25">
      <c r="Q150" s="49"/>
      <c r="R150" s="50"/>
      <c r="S150" s="51"/>
      <c r="T150" s="54"/>
      <c r="U150" s="51"/>
    </row>
    <row r="151" spans="17:21" ht="14.25">
      <c r="Q151" s="49"/>
      <c r="R151" s="50"/>
      <c r="S151" s="51"/>
      <c r="T151" s="54"/>
      <c r="U151" s="51"/>
    </row>
    <row r="152" spans="17:21" ht="14.25">
      <c r="Q152" s="49"/>
      <c r="R152" s="50"/>
      <c r="S152" s="51"/>
      <c r="T152" s="54"/>
      <c r="U152" s="51"/>
    </row>
    <row r="153" spans="17:21" ht="14.25">
      <c r="Q153" s="49"/>
      <c r="R153" s="50"/>
      <c r="S153" s="51"/>
      <c r="T153" s="54"/>
      <c r="U153" s="51"/>
    </row>
    <row r="154" spans="17:21" ht="14.25">
      <c r="Q154" s="49"/>
      <c r="R154" s="50"/>
      <c r="S154" s="51"/>
      <c r="T154" s="54"/>
      <c r="U154" s="51"/>
    </row>
    <row r="155" spans="17:21" ht="14.25">
      <c r="Q155" s="49"/>
      <c r="R155" s="50"/>
      <c r="S155" s="51"/>
      <c r="T155" s="54"/>
      <c r="U155" s="51"/>
    </row>
    <row r="156" spans="17:21" ht="14.25">
      <c r="Q156" s="49"/>
      <c r="R156" s="50"/>
      <c r="S156" s="51"/>
      <c r="T156" s="54"/>
      <c r="U156" s="51"/>
    </row>
    <row r="157" spans="17:21" ht="14.25">
      <c r="Q157" s="49"/>
      <c r="R157" s="50"/>
      <c r="S157" s="51"/>
      <c r="T157" s="54"/>
      <c r="U157" s="51"/>
    </row>
    <row r="158" spans="17:21" ht="14.25">
      <c r="Q158" s="49"/>
      <c r="R158" s="50"/>
      <c r="S158" s="51"/>
      <c r="T158" s="54"/>
      <c r="U158" s="51"/>
    </row>
    <row r="159" spans="17:21" ht="14.25">
      <c r="Q159" s="49"/>
      <c r="R159" s="50"/>
      <c r="S159" s="51"/>
      <c r="T159" s="54"/>
      <c r="U159" s="51"/>
    </row>
    <row r="160" spans="17:21" ht="14.25">
      <c r="Q160" s="49"/>
      <c r="R160" s="50"/>
      <c r="S160" s="51"/>
      <c r="T160" s="54"/>
      <c r="U160" s="51"/>
    </row>
    <row r="161" spans="17:21" ht="14.25">
      <c r="Q161" s="49"/>
      <c r="R161" s="50"/>
      <c r="S161" s="51"/>
      <c r="T161" s="54"/>
      <c r="U161" s="51"/>
    </row>
    <row r="162" spans="17:21" ht="14.25">
      <c r="Q162" s="49"/>
      <c r="R162" s="50"/>
      <c r="S162" s="51"/>
      <c r="T162" s="54"/>
      <c r="U162" s="51"/>
    </row>
    <row r="163" spans="17:21" ht="14.25">
      <c r="Q163" s="49"/>
      <c r="R163" s="50"/>
      <c r="S163" s="51"/>
      <c r="T163" s="54"/>
      <c r="U163" s="51"/>
    </row>
    <row r="164" spans="17:21" ht="14.25">
      <c r="Q164" s="49"/>
      <c r="R164" s="50"/>
      <c r="S164" s="51"/>
      <c r="T164" s="54"/>
      <c r="U164" s="51"/>
    </row>
    <row r="165" spans="17:21" ht="14.25">
      <c r="Q165" s="49"/>
      <c r="R165" s="50"/>
      <c r="S165" s="51"/>
      <c r="T165" s="54"/>
      <c r="U165" s="51"/>
    </row>
    <row r="166" spans="17:21" ht="14.25">
      <c r="Q166" s="49"/>
      <c r="R166" s="50"/>
      <c r="S166" s="51"/>
      <c r="T166" s="54"/>
      <c r="U166" s="51"/>
    </row>
    <row r="167" spans="17:21" ht="14.25">
      <c r="Q167" s="49"/>
      <c r="R167" s="50"/>
      <c r="S167" s="51"/>
      <c r="T167" s="54"/>
      <c r="U167" s="51"/>
    </row>
    <row r="168" spans="17:21" ht="14.25">
      <c r="Q168" s="47"/>
      <c r="R168" s="47"/>
      <c r="S168" s="48"/>
      <c r="T168" s="54"/>
      <c r="U168" s="51"/>
    </row>
    <row r="169" spans="17:21" ht="14.25">
      <c r="Q169" s="47"/>
      <c r="R169" s="47"/>
      <c r="S169" s="48"/>
      <c r="T169" s="54"/>
      <c r="U169" s="51"/>
    </row>
    <row r="170" spans="17:21" ht="14.25">
      <c r="Q170" s="49"/>
      <c r="R170" s="50"/>
      <c r="S170" s="51"/>
      <c r="T170" s="54"/>
      <c r="U170" s="51"/>
    </row>
    <row r="171" spans="17:21" ht="14.25">
      <c r="Q171" s="49"/>
      <c r="R171" s="50"/>
      <c r="S171" s="51"/>
      <c r="T171" s="54"/>
      <c r="U171" s="51"/>
    </row>
    <row r="172" spans="17:21" ht="14.25">
      <c r="Q172" s="49"/>
      <c r="R172" s="50"/>
      <c r="S172" s="51"/>
      <c r="T172" s="54"/>
      <c r="U172" s="51"/>
    </row>
    <row r="173" spans="17:21" ht="14.25">
      <c r="Q173" s="49"/>
      <c r="R173" s="50"/>
      <c r="S173" s="51"/>
      <c r="T173" s="54"/>
      <c r="U173" s="51"/>
    </row>
    <row r="174" spans="17:21" ht="14.25">
      <c r="Q174" s="49"/>
      <c r="R174" s="50"/>
      <c r="S174" s="51"/>
      <c r="T174" s="55"/>
      <c r="U174" s="48"/>
    </row>
    <row r="175" spans="17:20" ht="14.25">
      <c r="Q175" s="49"/>
      <c r="R175" s="50"/>
      <c r="S175" s="51"/>
      <c r="T175" s="56"/>
    </row>
    <row r="176" spans="17:21" ht="14.25">
      <c r="Q176" s="49"/>
      <c r="R176" s="50"/>
      <c r="S176" s="51"/>
      <c r="T176" s="54"/>
      <c r="U176" s="51"/>
    </row>
    <row r="177" spans="17:20" ht="14.25">
      <c r="Q177" s="49"/>
      <c r="R177" s="50"/>
      <c r="S177" s="51"/>
      <c r="T177" s="55"/>
    </row>
    <row r="178" spans="17:20" ht="14.25">
      <c r="Q178" s="49"/>
      <c r="R178" s="50"/>
      <c r="S178" s="51"/>
      <c r="T178" s="57"/>
    </row>
    <row r="179" spans="17:20" ht="14.25">
      <c r="Q179" s="49"/>
      <c r="R179" s="50"/>
      <c r="S179" s="51"/>
      <c r="T179" s="57"/>
    </row>
    <row r="180" spans="17:20" ht="14.25">
      <c r="Q180" s="49"/>
      <c r="R180" s="50"/>
      <c r="S180" s="51"/>
      <c r="T180" s="57"/>
    </row>
    <row r="181" spans="17:20" ht="14.25">
      <c r="Q181" s="49"/>
      <c r="R181" s="50"/>
      <c r="S181" s="51"/>
      <c r="T181" s="58"/>
    </row>
    <row r="182" spans="17:21" ht="14.25">
      <c r="Q182" s="47"/>
      <c r="R182" s="47"/>
      <c r="S182" s="48"/>
      <c r="T182" s="59"/>
      <c r="U182" s="53"/>
    </row>
    <row r="183" spans="17:21" ht="14.25">
      <c r="Q183" s="47"/>
      <c r="R183" s="47"/>
      <c r="S183" s="48"/>
      <c r="T183" s="59"/>
      <c r="U183" s="53"/>
    </row>
    <row r="184" spans="17:21" ht="14.25">
      <c r="Q184" s="49"/>
      <c r="R184" s="50"/>
      <c r="S184" s="51"/>
      <c r="T184" s="55"/>
      <c r="U184" s="53"/>
    </row>
    <row r="185" spans="17:20" ht="14.25">
      <c r="Q185" s="49"/>
      <c r="R185" s="50"/>
      <c r="S185" s="51"/>
      <c r="T185" s="55"/>
    </row>
    <row r="186" spans="17:21" ht="14.25">
      <c r="Q186" s="49"/>
      <c r="R186" s="50"/>
      <c r="S186" s="51"/>
      <c r="T186" s="54"/>
      <c r="U186" s="51"/>
    </row>
    <row r="187" spans="17:21" ht="14.25">
      <c r="Q187" s="47"/>
      <c r="R187" s="47"/>
      <c r="S187" s="48"/>
      <c r="T187" s="54"/>
      <c r="U187" s="51"/>
    </row>
    <row r="188" spans="17:21" ht="14.25">
      <c r="Q188" s="47"/>
      <c r="R188" s="47"/>
      <c r="S188" s="48"/>
      <c r="T188" s="54"/>
      <c r="U188" s="51"/>
    </row>
    <row r="189" spans="17:21" ht="14.25">
      <c r="Q189" s="49"/>
      <c r="R189" s="50"/>
      <c r="S189" s="51"/>
      <c r="T189" s="54"/>
      <c r="U189" s="51"/>
    </row>
    <row r="190" spans="17:21" ht="14.25">
      <c r="Q190" s="49"/>
      <c r="R190" s="50"/>
      <c r="S190" s="51"/>
      <c r="T190" s="54"/>
      <c r="U190" s="51"/>
    </row>
    <row r="191" spans="17:21" ht="14.25">
      <c r="Q191" s="47"/>
      <c r="R191" s="47"/>
      <c r="S191" s="48"/>
      <c r="T191" s="54"/>
      <c r="U191" s="51"/>
    </row>
    <row r="192" spans="17:21" ht="14.25">
      <c r="Q192" s="49"/>
      <c r="R192" s="47"/>
      <c r="S192" s="48"/>
      <c r="T192" s="54"/>
      <c r="U192" s="51"/>
    </row>
    <row r="193" spans="17:21" ht="14.25">
      <c r="Q193" s="49"/>
      <c r="R193" s="47"/>
      <c r="S193" s="48"/>
      <c r="T193" s="55"/>
      <c r="U193" s="48"/>
    </row>
    <row r="194" spans="17:20" ht="14.25">
      <c r="Q194" s="49"/>
      <c r="R194" s="47"/>
      <c r="S194" s="48"/>
      <c r="T194" s="56"/>
    </row>
    <row r="195" spans="17:21" ht="14.25">
      <c r="Q195" s="49"/>
      <c r="R195" s="47"/>
      <c r="S195" s="48"/>
      <c r="T195" s="54"/>
      <c r="U195" s="51"/>
    </row>
    <row r="196" spans="17:21" ht="14.25">
      <c r="Q196" s="52"/>
      <c r="R196" s="52"/>
      <c r="S196" s="53"/>
      <c r="T196" s="54"/>
      <c r="U196" s="51"/>
    </row>
    <row r="197" spans="17:21" ht="14.25">
      <c r="Q197" s="52"/>
      <c r="R197" s="47"/>
      <c r="S197" s="53"/>
      <c r="T197" s="55"/>
      <c r="U197" s="48"/>
    </row>
    <row r="198" spans="17:20" ht="14.25">
      <c r="Q198" s="47"/>
      <c r="R198" s="47"/>
      <c r="S198" s="53"/>
      <c r="T198" s="56"/>
    </row>
    <row r="199" spans="17:21" ht="14.25">
      <c r="Q199" s="47"/>
      <c r="R199" s="50"/>
      <c r="S199" s="48"/>
      <c r="T199" s="54"/>
      <c r="U199" s="51"/>
    </row>
    <row r="200" spans="17:21" ht="14.25">
      <c r="Q200" s="49"/>
      <c r="R200" s="50"/>
      <c r="S200" s="51"/>
      <c r="T200" s="54"/>
      <c r="U200" s="51"/>
    </row>
    <row r="201" spans="17:20" ht="14.25">
      <c r="Q201" s="49"/>
      <c r="R201" s="50"/>
      <c r="S201" s="51"/>
      <c r="T201" s="55"/>
    </row>
    <row r="202" spans="17:20" ht="14.25">
      <c r="Q202" s="49"/>
      <c r="R202" s="50"/>
      <c r="S202" s="51"/>
      <c r="T202" s="57"/>
    </row>
    <row r="203" spans="17:20" ht="14.25">
      <c r="Q203" s="49"/>
      <c r="R203" s="50"/>
      <c r="S203" s="51"/>
      <c r="T203" s="57"/>
    </row>
    <row r="204" spans="17:20" ht="14.25">
      <c r="Q204" s="49"/>
      <c r="R204" s="50"/>
      <c r="S204" s="51"/>
      <c r="T204" s="57"/>
    </row>
    <row r="205" spans="17:20" ht="14.25">
      <c r="Q205" s="49"/>
      <c r="R205" s="50"/>
      <c r="S205" s="51"/>
      <c r="T205" s="58"/>
    </row>
    <row r="206" spans="17:21" ht="14.25">
      <c r="Q206" s="49"/>
      <c r="R206" s="50"/>
      <c r="S206" s="51"/>
      <c r="T206" s="59"/>
      <c r="U206" s="53"/>
    </row>
    <row r="207" spans="17:21" ht="14.25">
      <c r="Q207" s="47"/>
      <c r="R207" s="47"/>
      <c r="S207" s="48"/>
      <c r="T207" s="59"/>
      <c r="U207" s="53"/>
    </row>
    <row r="208" spans="17:21" ht="14.25">
      <c r="Q208" s="47"/>
      <c r="R208" s="47"/>
      <c r="S208" s="48"/>
      <c r="T208" s="55"/>
      <c r="U208" s="53"/>
    </row>
    <row r="209" spans="17:20" ht="14.25">
      <c r="Q209" s="49"/>
      <c r="R209" s="50"/>
      <c r="S209" s="51"/>
      <c r="T209" s="55"/>
    </row>
    <row r="210" spans="17:21" ht="14.25">
      <c r="Q210" s="47"/>
      <c r="R210" s="47"/>
      <c r="S210" s="48"/>
      <c r="T210" s="54"/>
      <c r="U210" s="51"/>
    </row>
    <row r="211" spans="17:21" ht="14.25">
      <c r="Q211" s="52"/>
      <c r="R211" s="47"/>
      <c r="S211" s="48"/>
      <c r="T211" s="54"/>
      <c r="U211" s="51"/>
    </row>
    <row r="212" spans="17:21" ht="14.25">
      <c r="Q212" s="47"/>
      <c r="R212" s="47"/>
      <c r="S212" s="48"/>
      <c r="T212" s="54"/>
      <c r="U212" s="51"/>
    </row>
    <row r="213" spans="20:21" ht="14.25">
      <c r="T213" s="54"/>
      <c r="U213" s="51"/>
    </row>
    <row r="214" spans="20:21" ht="14.25">
      <c r="T214" s="54"/>
      <c r="U214" s="51"/>
    </row>
    <row r="215" spans="20:21" ht="14.25">
      <c r="T215" s="54"/>
      <c r="U215" s="51"/>
    </row>
    <row r="216" spans="20:21" ht="14.25">
      <c r="T216" s="54"/>
      <c r="U216" s="51"/>
    </row>
    <row r="217" spans="20:21" ht="14.25">
      <c r="T217" s="54"/>
      <c r="U217" s="51"/>
    </row>
    <row r="218" spans="20:21" ht="14.25">
      <c r="T218" s="54"/>
      <c r="U218" s="51"/>
    </row>
    <row r="219" spans="20:21" ht="14.25">
      <c r="T219" s="55"/>
      <c r="U219" s="48"/>
    </row>
    <row r="220" ht="14.25">
      <c r="T220" s="56"/>
    </row>
    <row r="221" spans="20:21" ht="14.25">
      <c r="T221" s="54"/>
      <c r="U221" s="51"/>
    </row>
    <row r="222" spans="20:21" ht="14.25">
      <c r="T222" s="54"/>
      <c r="U222" s="51"/>
    </row>
    <row r="223" spans="20:21" ht="14.25">
      <c r="T223" s="54"/>
      <c r="U223" s="51"/>
    </row>
    <row r="224" ht="14.25">
      <c r="T224" s="55"/>
    </row>
    <row r="225" ht="14.25">
      <c r="T225" s="57"/>
    </row>
    <row r="226" ht="14.25">
      <c r="T226" s="57"/>
    </row>
    <row r="227" ht="14.25">
      <c r="T227" s="57"/>
    </row>
    <row r="228" ht="14.25">
      <c r="T228" s="58"/>
    </row>
    <row r="229" spans="20:21" ht="14.25">
      <c r="T229" s="59"/>
      <c r="U229" s="53"/>
    </row>
    <row r="230" spans="20:21" ht="14.25">
      <c r="T230" s="59"/>
      <c r="U230" s="53"/>
    </row>
    <row r="231" spans="20:21" ht="14.25">
      <c r="T231" s="55"/>
      <c r="U231" s="53"/>
    </row>
    <row r="232" spans="20:21" ht="14.25">
      <c r="T232" s="55"/>
      <c r="U232" s="51"/>
    </row>
    <row r="233" spans="20:21" ht="14.25">
      <c r="T233" s="54"/>
      <c r="U233" s="51"/>
    </row>
    <row r="234" spans="20:21" ht="14.25">
      <c r="T234" s="54"/>
      <c r="U234" s="51"/>
    </row>
    <row r="235" spans="20:21" ht="14.25">
      <c r="T235" s="54"/>
      <c r="U235" s="51"/>
    </row>
    <row r="236" spans="20:21" ht="14.25">
      <c r="T236" s="55"/>
      <c r="U236" s="48"/>
    </row>
    <row r="237" ht="14.25">
      <c r="T237" s="56"/>
    </row>
    <row r="238" spans="20:21" ht="14.25">
      <c r="T238" s="54"/>
      <c r="U238" s="51"/>
    </row>
    <row r="239" spans="20:21" ht="14.25">
      <c r="T239" s="55"/>
      <c r="U239" s="48"/>
    </row>
    <row r="240" spans="20:21" ht="14.25">
      <c r="T240" s="60"/>
      <c r="U240" s="48"/>
    </row>
    <row r="241" ht="14.25">
      <c r="T241" s="55"/>
    </row>
    <row r="242" ht="14.25">
      <c r="T242" s="55"/>
    </row>
    <row r="243" ht="14.25">
      <c r="T243" s="55"/>
    </row>
  </sheetData>
  <sheetProtection/>
  <printOptions/>
  <pageMargins left="0.7" right="0.7" top="0.75" bottom="0.75" header="0.3" footer="0.3"/>
  <pageSetup horizontalDpi="600" verticalDpi="600" orientation="landscape" paperSize="9" scale="89" r:id="rId1"/>
  <ignoredErrors>
    <ignoredError sqref="K39:L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17" sqref="I17"/>
    </sheetView>
  </sheetViews>
  <sheetFormatPr defaultColWidth="11.421875" defaultRowHeight="12.75"/>
  <cols>
    <col min="3" max="3" width="13.57421875" style="0" customWidth="1"/>
    <col min="4" max="5" width="13.7109375" style="0" customWidth="1"/>
    <col min="6" max="6" width="14.140625" style="0" customWidth="1"/>
    <col min="7" max="7" width="13.7109375" style="0" customWidth="1"/>
    <col min="8" max="8" width="14.00390625" style="0" customWidth="1"/>
    <col min="9" max="9" width="13.7109375" style="0" bestFit="1" customWidth="1"/>
    <col min="10" max="10" width="18.140625" style="0" customWidth="1"/>
    <col min="11" max="11" width="13.7109375" style="0" bestFit="1" customWidth="1"/>
    <col min="12" max="12" width="16.00390625" style="0" customWidth="1"/>
    <col min="13" max="13" width="15.00390625" style="0" customWidth="1"/>
  </cols>
  <sheetData>
    <row r="1" ht="12.75">
      <c r="A1" s="4"/>
    </row>
    <row r="2" ht="12.75">
      <c r="A2" s="4" t="s">
        <v>30</v>
      </c>
    </row>
    <row r="3" spans="1:5" ht="12.75">
      <c r="A3" s="23"/>
      <c r="B3" s="25"/>
      <c r="C3" s="25"/>
      <c r="D3" s="25"/>
      <c r="E3" s="25"/>
    </row>
    <row r="4" spans="1:5" ht="12.75">
      <c r="A4" s="23"/>
      <c r="B4" s="25"/>
      <c r="C4" s="25"/>
      <c r="D4" s="25"/>
      <c r="E4" s="25"/>
    </row>
    <row r="5" spans="3:9" ht="12.75">
      <c r="C5" s="21">
        <f aca="true" t="shared" si="0" ref="C5:H5">+C12/C13</f>
        <v>0.03705266803684139</v>
      </c>
      <c r="D5" s="21">
        <f t="shared" si="0"/>
        <v>0.05249910570028262</v>
      </c>
      <c r="E5" s="21">
        <f t="shared" si="0"/>
        <v>0.03888317134630248</v>
      </c>
      <c r="F5" s="21">
        <f t="shared" si="0"/>
        <v>0.058619574561008636</v>
      </c>
      <c r="G5" s="21">
        <f t="shared" si="0"/>
        <v>0.05494315954331906</v>
      </c>
      <c r="H5" s="21">
        <f t="shared" si="0"/>
        <v>0.027727644222956774</v>
      </c>
      <c r="I5" s="21">
        <f>I12/I13</f>
        <v>0.05408661317305083</v>
      </c>
    </row>
    <row r="6" spans="1:4" ht="12.75">
      <c r="A6" s="23"/>
      <c r="B6" s="23"/>
      <c r="C6" s="27"/>
      <c r="D6" s="27"/>
    </row>
    <row r="7" spans="1:9" ht="12.75">
      <c r="A7" s="23" t="s">
        <v>31</v>
      </c>
      <c r="B7" s="23"/>
      <c r="C7" s="3">
        <v>2016</v>
      </c>
      <c r="D7" s="3">
        <v>2017</v>
      </c>
      <c r="E7" s="3">
        <v>2018</v>
      </c>
      <c r="F7" s="34">
        <v>2019</v>
      </c>
      <c r="G7" s="3">
        <v>2020</v>
      </c>
      <c r="H7" s="3">
        <v>2021</v>
      </c>
      <c r="I7" s="3">
        <v>2022</v>
      </c>
    </row>
    <row r="8" spans="1:4" ht="12.75">
      <c r="A8" s="23"/>
      <c r="B8" s="23"/>
      <c r="C8" s="27"/>
      <c r="D8" s="27"/>
    </row>
    <row r="9" spans="1:10" ht="12.75">
      <c r="A9" s="29" t="s">
        <v>32</v>
      </c>
      <c r="B9" s="23"/>
      <c r="C9" s="27">
        <v>378675.07</v>
      </c>
      <c r="D9" s="27">
        <v>326794.51</v>
      </c>
      <c r="E9" s="5">
        <v>535480.44</v>
      </c>
      <c r="F9" s="5">
        <f>108586.67+84242.76+220930.09</f>
        <v>413759.52</v>
      </c>
      <c r="G9" s="5">
        <f>28311.68+200108.82+213090.13</f>
        <v>441510.63</v>
      </c>
      <c r="H9">
        <f>427635.76+279197.7+195987.13</f>
        <v>902820.59</v>
      </c>
      <c r="I9" s="5">
        <f>682994.48+139591.73+266194.94</f>
        <v>1088781.15</v>
      </c>
      <c r="J9" s="65"/>
    </row>
    <row r="10" spans="1:10" ht="12.75">
      <c r="A10" s="29" t="s">
        <v>33</v>
      </c>
      <c r="B10" s="23"/>
      <c r="C10" s="27">
        <v>872942.26</v>
      </c>
      <c r="D10" s="27">
        <v>631560.09</v>
      </c>
      <c r="E10" s="5">
        <v>988876.56</v>
      </c>
      <c r="F10" s="5">
        <f>692656.56+325350</f>
        <v>1018006.56</v>
      </c>
      <c r="G10" s="5">
        <f>600000+542250</f>
        <v>1142250</v>
      </c>
      <c r="H10">
        <f>272375.08+361500+14789.79</f>
        <v>648664.8700000001</v>
      </c>
      <c r="I10" s="5">
        <f>320077.07+553232.53+13543.46</f>
        <v>886853.06</v>
      </c>
      <c r="J10" s="65"/>
    </row>
    <row r="11" spans="1:10" ht="12.75">
      <c r="A11" s="30" t="s">
        <v>34</v>
      </c>
      <c r="B11" s="23"/>
      <c r="C11" s="27">
        <v>4009281.8</v>
      </c>
      <c r="D11" s="27">
        <v>6742373.75</v>
      </c>
      <c r="E11" s="5">
        <v>4067285.51</v>
      </c>
      <c r="F11" s="5">
        <v>7641641.83</v>
      </c>
      <c r="G11" s="5">
        <f>912976.22+6323936.95</f>
        <v>7236913.17</v>
      </c>
      <c r="H11">
        <f>579395.25+2860343.9</f>
        <v>3439739.15</v>
      </c>
      <c r="I11" s="5">
        <f>1047199.17+6476087.87</f>
        <v>7523287.04</v>
      </c>
      <c r="J11" s="65"/>
    </row>
    <row r="12" spans="1:9" ht="12.75">
      <c r="A12" s="23"/>
      <c r="B12" s="23"/>
      <c r="C12" s="31">
        <f aca="true" t="shared" si="1" ref="C12:H12">+C11+C10+C9</f>
        <v>5260899.13</v>
      </c>
      <c r="D12" s="31">
        <f t="shared" si="1"/>
        <v>7700728.35</v>
      </c>
      <c r="E12" s="31">
        <f t="shared" si="1"/>
        <v>5591642.51</v>
      </c>
      <c r="F12" s="31">
        <f t="shared" si="1"/>
        <v>9073407.91</v>
      </c>
      <c r="G12" s="31">
        <f t="shared" si="1"/>
        <v>8820673.8</v>
      </c>
      <c r="H12" s="31">
        <f t="shared" si="1"/>
        <v>4991224.61</v>
      </c>
      <c r="I12" s="31">
        <f>SUM(I9:I11)</f>
        <v>9498921.25</v>
      </c>
    </row>
    <row r="13" spans="2:9" ht="12.75">
      <c r="B13" s="23"/>
      <c r="C13" s="27">
        <v>141984353.86</v>
      </c>
      <c r="D13" s="27">
        <v>146683038.64</v>
      </c>
      <c r="E13" s="33">
        <v>143806235.87</v>
      </c>
      <c r="F13" s="5">
        <v>154784608.69</v>
      </c>
      <c r="G13" s="5">
        <v>160541801.26</v>
      </c>
      <c r="H13" s="5">
        <v>180008967.58</v>
      </c>
      <c r="I13" s="5">
        <v>175624256.96</v>
      </c>
    </row>
    <row r="14" spans="1:7" ht="12.75">
      <c r="A14" s="23"/>
      <c r="B14" s="23"/>
      <c r="C14" s="23"/>
      <c r="D14" s="27"/>
      <c r="E14" s="27"/>
      <c r="F14" s="27"/>
      <c r="G14" s="27"/>
    </row>
    <row r="15" ht="12.75">
      <c r="F15" s="5"/>
    </row>
    <row r="16" spans="6:7" ht="12.75">
      <c r="F16" s="5"/>
      <c r="G16" s="5"/>
    </row>
    <row r="17" spans="6:10" ht="12.75">
      <c r="F17" s="5"/>
      <c r="G17" s="5"/>
      <c r="H17" s="5"/>
      <c r="I17" s="5"/>
      <c r="J17" s="5"/>
    </row>
    <row r="18" spans="6:10" ht="12.75">
      <c r="F18" s="5"/>
      <c r="G18" s="5"/>
      <c r="H18" s="5"/>
      <c r="J18" s="5"/>
    </row>
    <row r="19" spans="6:9" ht="12.75">
      <c r="F19" s="5"/>
      <c r="G19" s="5"/>
      <c r="H19" s="5"/>
      <c r="I19" s="5"/>
    </row>
    <row r="20" ht="12.75">
      <c r="G20" s="5"/>
    </row>
    <row r="21" ht="12.75">
      <c r="G21" s="5"/>
    </row>
    <row r="22" spans="7:8" ht="12.75">
      <c r="G22" s="5"/>
      <c r="H22" s="5"/>
    </row>
    <row r="23" spans="7:8" ht="12.75">
      <c r="G23" s="5"/>
      <c r="H23" s="5"/>
    </row>
    <row r="24" ht="12.75">
      <c r="H24" s="5"/>
    </row>
    <row r="25" ht="12.75">
      <c r="H2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30"/>
  <sheetViews>
    <sheetView zoomScalePageLayoutView="0" workbookViewId="0" topLeftCell="A1">
      <selection activeCell="I27" sqref="I27"/>
    </sheetView>
  </sheetViews>
  <sheetFormatPr defaultColWidth="11.421875" defaultRowHeight="12.75"/>
  <cols>
    <col min="2" max="2" width="17.57421875" style="0" customWidth="1"/>
    <col min="3" max="3" width="17.00390625" style="0" customWidth="1"/>
    <col min="4" max="6" width="11.7109375" style="0" bestFit="1" customWidth="1"/>
    <col min="7" max="7" width="13.140625" style="0" customWidth="1"/>
    <col min="8" max="8" width="16.140625" style="0" customWidth="1"/>
    <col min="9" max="9" width="14.7109375" style="0" customWidth="1"/>
    <col min="10" max="10" width="15.7109375" style="0" customWidth="1"/>
  </cols>
  <sheetData>
    <row r="5" spans="1:7" ht="12.75">
      <c r="A5" s="32"/>
      <c r="B5" s="32"/>
      <c r="C5" s="32">
        <v>2018</v>
      </c>
      <c r="D5" s="32">
        <v>2019</v>
      </c>
      <c r="E5" s="3">
        <v>2020</v>
      </c>
      <c r="F5" s="3">
        <v>2021</v>
      </c>
      <c r="G5" s="3">
        <v>2022</v>
      </c>
    </row>
    <row r="7" spans="1:7" ht="12.75">
      <c r="A7" s="4" t="s">
        <v>35</v>
      </c>
      <c r="E7" s="43">
        <f>160541801.26/202297</f>
        <v>793.5945726333065</v>
      </c>
      <c r="F7" s="43">
        <f>180008967.58/200143</f>
        <v>899.4017656375692</v>
      </c>
      <c r="G7" s="5">
        <f>175624256.96/189891</f>
        <v>924.8687771405702</v>
      </c>
    </row>
    <row r="8" spans="1:7" ht="12.75">
      <c r="A8" s="11"/>
      <c r="B8" s="11"/>
      <c r="C8" s="11"/>
      <c r="D8" s="1"/>
      <c r="E8" s="11"/>
      <c r="F8" s="11"/>
      <c r="G8" s="11"/>
    </row>
    <row r="10" spans="1:8" ht="12.75">
      <c r="A10" s="4" t="s">
        <v>36</v>
      </c>
      <c r="E10" s="44">
        <f>37569610.55/184015292.93</f>
        <v>0.20416569705590498</v>
      </c>
      <c r="F10" s="44">
        <f>40900866.2/197367261.36</f>
        <v>0.20723227306374983</v>
      </c>
      <c r="G10" s="5">
        <f>52614991.82/187518466.01</f>
        <v>0.2805856561198306</v>
      </c>
      <c r="H10" s="5"/>
    </row>
    <row r="11" spans="1:7" ht="12.75">
      <c r="A11" s="11"/>
      <c r="B11" s="11"/>
      <c r="C11" s="11"/>
      <c r="D11" s="11"/>
      <c r="E11" s="11"/>
      <c r="F11" s="11"/>
      <c r="G11" s="11"/>
    </row>
    <row r="13" spans="1:7" ht="12.75">
      <c r="A13" s="4" t="s">
        <v>38</v>
      </c>
      <c r="D13" s="62">
        <f>11918851.37*365/154784608.69</f>
        <v>28.10602931950985</v>
      </c>
      <c r="E13" s="62">
        <f>13065325.48*365/160541801.26</f>
        <v>29.704686024275894</v>
      </c>
      <c r="F13" s="62">
        <f>13065325.48*365/160541801.26</f>
        <v>29.704686024275894</v>
      </c>
      <c r="G13" s="81">
        <f>17679910.57*365/175624256.96</f>
        <v>36.74416888505195</v>
      </c>
    </row>
    <row r="14" spans="1:7" ht="12.75">
      <c r="A14" s="11"/>
      <c r="B14" s="11"/>
      <c r="C14" s="11"/>
      <c r="D14" s="11"/>
      <c r="E14" s="11"/>
      <c r="F14" s="11"/>
      <c r="G14" s="82"/>
    </row>
    <row r="15" spans="1:7" ht="12.75">
      <c r="A15" s="23"/>
      <c r="B15" s="23"/>
      <c r="C15" s="23"/>
      <c r="D15" s="23"/>
      <c r="E15" s="23"/>
      <c r="F15" s="23"/>
      <c r="G15" s="15"/>
    </row>
    <row r="16" spans="1:7" ht="12.75">
      <c r="A16" s="4" t="s">
        <v>37</v>
      </c>
      <c r="B16" s="23"/>
      <c r="C16" s="63">
        <f>11237597.17*365/99269905.93</f>
        <v>41.31889648351559</v>
      </c>
      <c r="D16" s="63">
        <f>10613477.58*365/101151693.79</f>
        <v>38.298116141708945</v>
      </c>
      <c r="E16" s="63">
        <f>10191623.63*365/96696734.24</f>
        <v>38.47019916636639</v>
      </c>
      <c r="F16" s="63">
        <f>10244323.8*365/90529350.09</f>
        <v>41.30349089309363</v>
      </c>
      <c r="G16" s="81">
        <f>(4880164.78+510173.48+2864083.73)*365/(95793169.07)</f>
        <v>31.45176274676096</v>
      </c>
    </row>
    <row r="17" spans="1:7" ht="12.75">
      <c r="A17" s="11"/>
      <c r="B17" s="11"/>
      <c r="C17" s="11"/>
      <c r="D17" s="11"/>
      <c r="E17" s="11"/>
      <c r="F17" s="11"/>
      <c r="G17" s="11"/>
    </row>
    <row r="19" spans="1:7" ht="12.75">
      <c r="A19" s="4" t="s">
        <v>39</v>
      </c>
      <c r="E19" s="43">
        <f>15181297.62/202297</f>
        <v>75.04460085913286</v>
      </c>
      <c r="F19" s="43">
        <f>4961583.53/200143</f>
        <v>24.790192662246493</v>
      </c>
      <c r="G19" s="5">
        <f>10744270.65/189891</f>
        <v>56.58125266600313</v>
      </c>
    </row>
    <row r="20" spans="1:7" ht="12.75">
      <c r="A20" s="11"/>
      <c r="B20" s="11"/>
      <c r="C20" s="11"/>
      <c r="D20" s="11"/>
      <c r="E20" s="11"/>
      <c r="F20" s="11"/>
      <c r="G20" s="11"/>
    </row>
    <row r="22" spans="1:10" ht="12.75">
      <c r="A22" s="4" t="s">
        <v>42</v>
      </c>
      <c r="D22" s="21">
        <f>50124951.33/154784608.69</f>
        <v>0.3238367932976424</v>
      </c>
      <c r="E22" s="21">
        <f>50586219.53/160541801.26</f>
        <v>0.31509687279560805</v>
      </c>
      <c r="F22" s="21">
        <f>51067325.99/180008967.58</f>
        <v>0.2836932330457622</v>
      </c>
      <c r="G22" s="21">
        <f>54701491.22/175624256.96</f>
        <v>0.31146888343823004</v>
      </c>
      <c r="H22" s="5"/>
      <c r="I22" s="5"/>
      <c r="J22" s="5"/>
    </row>
    <row r="23" spans="1:10" ht="12.75">
      <c r="A23" s="9"/>
      <c r="B23" s="11"/>
      <c r="C23" s="11"/>
      <c r="D23" s="64"/>
      <c r="E23" s="64"/>
      <c r="F23" s="64"/>
      <c r="G23" s="11"/>
      <c r="H23" s="5"/>
      <c r="I23" s="5"/>
      <c r="J23" s="5"/>
    </row>
    <row r="24" spans="1:10" ht="12.75">
      <c r="A24" s="4" t="s">
        <v>43</v>
      </c>
      <c r="D24" s="5">
        <f>813932.24*1.236</f>
        <v>1006020.24864</v>
      </c>
      <c r="E24" s="5">
        <f>1010922.79*1.236</f>
        <v>1249500.56844</v>
      </c>
      <c r="F24" s="5">
        <f>999129.13*1.236</f>
        <v>1234923.60468</v>
      </c>
      <c r="G24" s="6">
        <v>1110730.3699999999</v>
      </c>
      <c r="H24" s="5"/>
      <c r="I24" s="5"/>
      <c r="J24" s="5"/>
    </row>
    <row r="25" spans="1:7" ht="12.75">
      <c r="A25" s="4" t="s">
        <v>44</v>
      </c>
      <c r="D25" s="21">
        <f>+D24/50124951.33</f>
        <v>0.02007024888696286</v>
      </c>
      <c r="E25" s="21">
        <f>+E24/50586219.53</f>
        <v>0.024700414066304906</v>
      </c>
      <c r="F25" s="21">
        <f>+F24/51067325.99</f>
        <v>0.02418226489716385</v>
      </c>
      <c r="G25" s="21">
        <f>G24/54701491.22</f>
        <v>0.02030530329662921</v>
      </c>
    </row>
    <row r="26" spans="1:9" ht="12.75">
      <c r="A26" s="4" t="s">
        <v>45</v>
      </c>
      <c r="D26" s="21">
        <f>+D24/154784608.69</f>
        <v>0.0064994850402396295</v>
      </c>
      <c r="E26" s="21">
        <f>+E24/160541801.26</f>
        <v>0.007783023229049325</v>
      </c>
      <c r="F26" s="21">
        <f>+F24/180008967.58</f>
        <v>0.006860344911045459</v>
      </c>
      <c r="G26" s="21">
        <f>G24/175624256.96</f>
        <v>0.0063244701456757115</v>
      </c>
      <c r="I26" s="5"/>
    </row>
    <row r="27" spans="1:7" ht="12.75">
      <c r="A27" s="9"/>
      <c r="B27" s="11"/>
      <c r="C27" s="11"/>
      <c r="D27" s="64"/>
      <c r="E27" s="64"/>
      <c r="F27" s="64"/>
      <c r="G27" s="11"/>
    </row>
    <row r="28" spans="1:9" ht="12.75">
      <c r="A28" s="4" t="s">
        <v>46</v>
      </c>
      <c r="D28" s="5">
        <f>905234.88*1.236</f>
        <v>1118870.31168</v>
      </c>
      <c r="E28" s="5">
        <f>1005631.98*1.236</f>
        <v>1242961.12728</v>
      </c>
      <c r="F28" s="5">
        <f>1057031.55*1.236</f>
        <v>1306490.9958000001</v>
      </c>
      <c r="G28" s="5">
        <v>1641809.34</v>
      </c>
      <c r="H28" s="5"/>
      <c r="I28" s="5"/>
    </row>
    <row r="29" spans="1:7" ht="12.75">
      <c r="A29" s="4" t="s">
        <v>44</v>
      </c>
      <c r="D29" s="21">
        <f>+D28/50124951.33</f>
        <v>0.02232162390171442</v>
      </c>
      <c r="E29" s="21">
        <f>+E28/50586219.53</f>
        <v>0.024571140892291142</v>
      </c>
      <c r="F29" s="21">
        <f>+F28/51067325.99</f>
        <v>0.02558369702098436</v>
      </c>
      <c r="G29" s="21">
        <f>G28/54701491.22</f>
        <v>0.03001397774325612</v>
      </c>
    </row>
    <row r="30" spans="1:10" ht="12.75">
      <c r="A30" s="4" t="s">
        <v>45</v>
      </c>
      <c r="D30" s="21">
        <f>+D28/154784608.69</f>
        <v>0.007228563105527208</v>
      </c>
      <c r="E30" s="21">
        <f>+E28/160541801.26</f>
        <v>0.007742289656181225</v>
      </c>
      <c r="F30" s="21">
        <f>+F28/180008967.58</f>
        <v>0.007257921721146288</v>
      </c>
      <c r="G30" s="21">
        <f>G28/175624256.96</f>
        <v>0.00934842013523187</v>
      </c>
      <c r="J3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2"/>
  <sheetViews>
    <sheetView zoomScalePageLayoutView="0" workbookViewId="0" topLeftCell="A10">
      <selection activeCell="J27" sqref="J27"/>
    </sheetView>
  </sheetViews>
  <sheetFormatPr defaultColWidth="11.421875" defaultRowHeight="12.75"/>
  <sheetData>
    <row r="7" ht="12.75">
      <c r="B7" s="32">
        <v>2022</v>
      </c>
    </row>
    <row r="9" ht="12.75">
      <c r="B9" s="4" t="s">
        <v>47</v>
      </c>
    </row>
    <row r="10" ht="12.75">
      <c r="B10" s="4" t="s">
        <v>48</v>
      </c>
    </row>
    <row r="11" ht="12.75">
      <c r="B11" s="4" t="s">
        <v>49</v>
      </c>
    </row>
    <row r="12" ht="12.75">
      <c r="B12" s="4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5.421875" style="0" customWidth="1"/>
    <col min="2" max="2" width="20.421875" style="0" customWidth="1"/>
    <col min="3" max="3" width="18.8515625" style="0" customWidth="1"/>
    <col min="5" max="5" width="11.421875" style="0" bestFit="1" customWidth="1"/>
  </cols>
  <sheetData>
    <row r="3" spans="1:3" ht="12.75">
      <c r="A3" s="74" t="s">
        <v>51</v>
      </c>
      <c r="B3" s="75" t="s">
        <v>52</v>
      </c>
      <c r="C3" s="75" t="s">
        <v>53</v>
      </c>
    </row>
    <row r="4" spans="1:3" ht="12.75">
      <c r="A4" s="76">
        <v>150</v>
      </c>
      <c r="B4" s="5">
        <v>140743.62</v>
      </c>
      <c r="C4" s="5">
        <v>27993.38</v>
      </c>
    </row>
    <row r="5" spans="1:3" ht="12.75">
      <c r="A5" s="76">
        <v>170</v>
      </c>
      <c r="B5" s="5">
        <v>63211.56</v>
      </c>
      <c r="C5" s="5">
        <v>10069.86</v>
      </c>
    </row>
    <row r="6" spans="1:3" ht="12.75">
      <c r="A6" s="76">
        <v>912</v>
      </c>
      <c r="B6" s="5">
        <v>68077.68</v>
      </c>
      <c r="C6" s="5">
        <v>13880.1</v>
      </c>
    </row>
    <row r="7" spans="1:3" ht="12.75">
      <c r="A7" s="76">
        <v>920</v>
      </c>
      <c r="B7" s="5">
        <v>591849.07</v>
      </c>
      <c r="C7" s="5">
        <v>82512.47</v>
      </c>
    </row>
    <row r="8" spans="1:3" ht="12.75">
      <c r="A8" s="76">
        <v>931</v>
      </c>
      <c r="B8" s="5">
        <v>95787.54</v>
      </c>
      <c r="C8" s="5">
        <v>16605.09</v>
      </c>
    </row>
    <row r="9" spans="1:3" ht="12.75">
      <c r="A9" s="76"/>
      <c r="B9" s="5"/>
      <c r="C9" s="5"/>
    </row>
    <row r="10" spans="2:5" ht="12.75">
      <c r="B10" s="5">
        <f>SUM(B4:B9)</f>
        <v>959669.47</v>
      </c>
      <c r="C10" s="5">
        <f>SUM(C4:C9)</f>
        <v>151060.9</v>
      </c>
      <c r="E10" s="77">
        <f>SUM(B10:D10)</f>
        <v>1110730.3699999999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E5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1" width="16.00390625" style="0" customWidth="1"/>
    <col min="2" max="2" width="22.7109375" style="0" customWidth="1"/>
    <col min="3" max="3" width="17.7109375" style="0" customWidth="1"/>
    <col min="5" max="5" width="11.421875" style="0" bestFit="1" customWidth="1"/>
  </cols>
  <sheetData>
    <row r="4" spans="1:3" ht="12.75">
      <c r="A4" s="74" t="s">
        <v>51</v>
      </c>
      <c r="B4" s="75" t="s">
        <v>54</v>
      </c>
      <c r="C4" s="75" t="s">
        <v>53</v>
      </c>
    </row>
    <row r="5" spans="1:5" ht="12.75">
      <c r="A5" s="78">
        <v>912</v>
      </c>
      <c r="B5" s="79">
        <v>1363757.8</v>
      </c>
      <c r="C5" s="79">
        <v>278051.54</v>
      </c>
      <c r="E5" s="77">
        <f>SUM(B5:C5)</f>
        <v>1641809.34</v>
      </c>
    </row>
  </sheetData>
  <sheetProtection/>
  <printOptions/>
  <pageMargins left="0.7" right="0.7" top="0.75" bottom="0.75" header="0.3" footer="0.3"/>
  <pageSetup horizontalDpi="600" verticalDpi="600" orientation="portrait" paperSize="9" r:id="rId3"/>
  <ignoredErrors>
    <ignoredError sqref="E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Fuenlabrada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bprada</dc:creator>
  <cp:keywords/>
  <dc:description/>
  <cp:lastModifiedBy>Maria de la Hoz Martinez de Tomas</cp:lastModifiedBy>
  <cp:lastPrinted>2019-06-05T12:11:20Z</cp:lastPrinted>
  <dcterms:created xsi:type="dcterms:W3CDTF">2010-08-02T10:58:04Z</dcterms:created>
  <dcterms:modified xsi:type="dcterms:W3CDTF">2023-06-13T11:21:20Z</dcterms:modified>
  <cp:category/>
  <cp:version/>
  <cp:contentType/>
  <cp:contentStatus/>
</cp:coreProperties>
</file>